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2" sheetId="18" r:id="rId1"/>
  </sheets>
  <definedNames>
    <definedName name="_xlnm._FilterDatabase" localSheetId="0" hidden="1">表2!$A$5:$XEN$157</definedName>
    <definedName name="_xlnm.Print_Titles" localSheetId="0">表2!$2:$5</definedName>
  </definedNames>
  <calcPr calcId="144525" concurrentCalc="0"/>
</workbook>
</file>

<file path=xl/sharedStrings.xml><?xml version="1.0" encoding="utf-8"?>
<sst xmlns="http://schemas.openxmlformats.org/spreadsheetml/2006/main" count="1529" uniqueCount="563">
  <si>
    <t>2020年扶贫资金项目实施进度台账</t>
  </si>
  <si>
    <t>填报单位：（盖章）　　　　　　　　　　　　　　　填表人:                                 审核人：</t>
  </si>
  <si>
    <t>序号</t>
  </si>
  <si>
    <t>项目名称</t>
  </si>
  <si>
    <t>2020年攻坚任务建设内容及规模</t>
  </si>
  <si>
    <t>计划建设
期限</t>
  </si>
  <si>
    <t>项目计划文号</t>
  </si>
  <si>
    <t>投资规模及资金来源</t>
  </si>
  <si>
    <t>支出资金（对照资金来源填写）</t>
  </si>
  <si>
    <t>项目立项（批复）</t>
  </si>
  <si>
    <t>项目实施进度（对照建设内容填写）</t>
  </si>
  <si>
    <t>建设周期</t>
  </si>
  <si>
    <t>绩效目标执行情况</t>
  </si>
  <si>
    <t>合计</t>
  </si>
  <si>
    <t>财政专项扶贫
资金投入</t>
  </si>
  <si>
    <t>不含财政专项扶贫资金的涉农整合资金投入</t>
  </si>
  <si>
    <t>东西部扶贫资金</t>
  </si>
  <si>
    <t>批复文号（行业部门批复）</t>
  </si>
  <si>
    <t>批复时间</t>
  </si>
  <si>
    <t>项目主管单位</t>
  </si>
  <si>
    <t>项目实施单位</t>
  </si>
  <si>
    <t>未开工</t>
  </si>
  <si>
    <t>开工</t>
  </si>
  <si>
    <t>已完工</t>
  </si>
  <si>
    <t>开工日期</t>
  </si>
  <si>
    <t>完工日期</t>
  </si>
  <si>
    <t>绩效目标发挥情况</t>
  </si>
  <si>
    <t>受益
村数
（个）</t>
  </si>
  <si>
    <t>受益
户数
（万户）</t>
  </si>
  <si>
    <t>受益
人数
（万人）</t>
  </si>
  <si>
    <t>中省</t>
  </si>
  <si>
    <t>市级</t>
  </si>
  <si>
    <t>县级</t>
  </si>
  <si>
    <t>一、</t>
  </si>
  <si>
    <t>产业培育</t>
  </si>
  <si>
    <t>（一）</t>
  </si>
  <si>
    <t>村集体经济发展</t>
  </si>
  <si>
    <t>奶山羊产业发展项目</t>
  </si>
  <si>
    <t>扶持全县55个奶山羊产业发展基础好的村集体经济，采取与企业合作联营的方式，按照35-70万元的标准，将投入资金入股到21家山羊生产经营主体（企业、合作社、大户）运营，资金所有权归55个村集体所有，资金使用权归生产经营主体，主要用于扩建繁育中心1处：新建千只规模奶山羊养殖场6个、新建500只适度规模场6个、新建200只家庭农场8个、新建饲草料加工厂7个、新建合水县奶山羊养殖技术服务中心1个。经营主体按不低于入股资金4%的比例向村集体给予保底分红，另加效益分红(经营收入的7%），分红5年，期满后返还入股资金。</t>
  </si>
  <si>
    <t>2020.4-2020.12</t>
  </si>
  <si>
    <r>
      <rPr>
        <sz val="10"/>
        <color theme="1"/>
        <rFont val="仿宋_GB2312"/>
        <charset val="134"/>
      </rPr>
      <t>合脱贫领发[</t>
    </r>
    <r>
      <rPr>
        <sz val="10"/>
        <color theme="1"/>
        <rFont val="Times New Roman"/>
        <charset val="134"/>
      </rPr>
      <t>2020]</t>
    </r>
    <r>
      <rPr>
        <sz val="10"/>
        <color theme="1"/>
        <rFont val="仿宋_GB2312"/>
        <charset val="134"/>
      </rPr>
      <t xml:space="preserve">44号、合脱贫办发[2020]17号  </t>
    </r>
  </si>
  <si>
    <t>合发﹝2020﹞2号</t>
  </si>
  <si>
    <t>2020.4.2</t>
  </si>
  <si>
    <t>县农业农村局</t>
  </si>
  <si>
    <t>县畜牧站</t>
  </si>
  <si>
    <t>完成</t>
  </si>
  <si>
    <t>对全县55个奶山羊养殖产业发展基础的村集体经济，每村按照35-55万元的标准，采取与确定的21家奶山羊企业、合作社、大户等合作联营的方式，村集体将投入资金入股经营主体，按不低于入股资金4%的比例向村集体给予保底分红，另加效益分红(经营收入的7%）。贫困户可参与经营主体生产经营活动或参与村及公益事业，获取劳务报酬。</t>
  </si>
  <si>
    <t>合水县现代矮化密植苹果标准化生产示范园建设项目</t>
  </si>
  <si>
    <t>扶持全县11个苹果产业发展基础好的村集体经济，其中446.5万元采取与企业合作联营的方式，按照35-50万元的标准，将投入资金入股庆阳陇山红果业有限公司运营，资金所有权归村集体所有，资金使用权归生产经营主体，主要用于联建苹果基地，在吉岘镇罗家畔村、王咀村、吉岘村建设矮化密植苹果标准化生产示范园一处1000亩，重点推广以矮化密植栽培、果园生草种草、高纺锤形树形培养、果园机械化管理、肥水一体化管理及生物物理防治病虫害为主的现代果园管理技术。经营主体按村集体入股资金的5%从合同签订第四年至第九年（分红6年时间），按年向村集体给予保底分红，期满后返还入股资金；1056.07万元用于产业路及水利工程等村基础设施配套</t>
  </si>
  <si>
    <t xml:space="preserve">合脱贫领发[2020]44号、合脱贫办发[2020]17号  </t>
  </si>
  <si>
    <t>合果局发【2020】17号</t>
  </si>
  <si>
    <t>2020.2.20</t>
  </si>
  <si>
    <t>县果产业发展中心</t>
  </si>
  <si>
    <t>县果业局发展中心
县扶贫办
县水务局
县电力局
吉岘镇人民政府</t>
  </si>
  <si>
    <t>2020.3.1</t>
  </si>
  <si>
    <t>2020.12.31</t>
  </si>
  <si>
    <t>周边果农矮化密植果树栽植示范效应</t>
  </si>
  <si>
    <t>何家畔铁李川新型联体蔬菜暖棚村集体带贫项目</t>
  </si>
  <si>
    <t>扶持全县何家畔镇3个蔬菜产业发展好的村集体经济，采取与合作社合作联营的方式，按照35-50万元的标准，将投入资金入股合水县铁李川富民瓜菜专业合作社运营，资产所有权归3个村集体所有，资金使用权归合作社，主要用于联建蔬菜基地。在赵楼子行政村铁李川自然村流转土地15亩新建瓜菜种植、观光为一体的新型联体蔬菜暖棚2座，总面积4068㎡，建成无土栽培立体支架及废水一体化系统等。每年为村集体分红13万元。</t>
  </si>
  <si>
    <t>合蔬办发（2020）11号</t>
  </si>
  <si>
    <t>2020.03.17</t>
  </si>
  <si>
    <t>县蔬菜办</t>
  </si>
  <si>
    <t>何家畔镇人民政府</t>
  </si>
  <si>
    <t>2020.04.05</t>
  </si>
  <si>
    <t>2020.06.05</t>
  </si>
  <si>
    <t>项目建成后可增加村集体经济收入13万元，稳定为36户贫困户提供就业岗位，辐射带动赵楼子、柳家川、显头391户瓜菜种植户持续增收，同步带动铁李川现有52座水泥骨架大棚转型升级，增加瓜菜产业效益。</t>
  </si>
  <si>
    <t>老城镇牧家沟村蔬菜产业村集体带贫项目</t>
  </si>
  <si>
    <t>扶持全县6个蔬菜产业发展好的村集体经济，采取合作联营的方式，按照35-45万元的标准，将投入资金入股合水县振兴循环农业农民专业合作社运营，资金所有权归6个村村集体所有，资金使用权归合作社，主要用于在牧家沟村309国道沿线新建瓜菜交易市场2处，特色销售点15处。合作社按照4%的比例，每年向村集体给予保底分红，共分红5年，期满收资金返还给村集体。</t>
  </si>
  <si>
    <t>2020.4-2020.11</t>
  </si>
  <si>
    <t>合蔬办发（2020）16号</t>
  </si>
  <si>
    <t>2020.03.27</t>
  </si>
  <si>
    <t>老城镇人民政府</t>
  </si>
  <si>
    <t>通过项目实施可有效增加村集体经济收入，带动周边农户发展瓜菜产业。</t>
  </si>
  <si>
    <t>太白镇草畜产业村集体入股项目</t>
  </si>
  <si>
    <t>扶持太白镇莲花寺村，采取合作联营的方式，将投入资金入股入股合水县太昌源饲草专业合作社运营，资金所有权归村集体所有，使用权归合作社，主要用于建青储饲料棚一个（450㎡），干储饲料棚一个（600㎡），多功能干储压滚机3台，地磅一个（100吨），干储堆放区2000㎡。合作社按照入股资金4%的比例，另加经营收入7%的分红比例每年为村集体分红，分红期限5年，期满后，资金返还村集体体生产经营活动或参与村及公益事业，获取劳务报酬。</t>
  </si>
  <si>
    <t>2020.6-2020.8</t>
  </si>
  <si>
    <t xml:space="preserve">合脱贫办发[2020]17号  </t>
  </si>
  <si>
    <t>合脱贫领2020【33】号</t>
  </si>
  <si>
    <t>2020.6.5</t>
  </si>
  <si>
    <t>太白镇</t>
  </si>
  <si>
    <t>带动莲花寺村经济效益收入，带动420户1606人产业增收</t>
  </si>
  <si>
    <t>板桥镇村集体产业入股项目</t>
  </si>
  <si>
    <t>将30万元村集体资金入股到合水县金涛种养殖农民专业合作社。资金所有权归村集体所有，资金使用权归合作社，合作社主要进行菌类、蔬菜的种植，家禽养殖等生产经营活动共需资金42.54万元（自筹资金12.54万元），其中村集体资金30万元，自筹资金12.54万元。用于购买高压灭菌罐1个，装袋机1台，输送机一台，翻堆机1台；小型铲车1辆；周转筐300个，架子60个；蒸汽锅炉1个；菌种9万个；厂房建设及菌房地面处理等。合水县金涛种养殖农民专业合作社应按不低于入股资金4%的比例按年向曹塬村集体进行保底分红，并按年向曹塬村集体进行经营收入7%的效益分红，分红期限为5年，期满后返还入股资金。</t>
  </si>
  <si>
    <t>2020.7-2020.9</t>
  </si>
  <si>
    <t>合脱贫领发[2020]44号</t>
  </si>
  <si>
    <t>合脱贫办发〔2020〕40号</t>
  </si>
  <si>
    <t>2020.07.03</t>
  </si>
  <si>
    <t>板桥镇</t>
  </si>
  <si>
    <t>吸收贫困人口就业务工，分红增加村集体经济收入。</t>
  </si>
  <si>
    <t>段家集镇王庄葡萄园二期改扩建项目</t>
  </si>
  <si>
    <t>采取合作联营的方式，通过将投入资金村集体入股到生产经营主体，资金所有权归村集体所有，资金使用权归合作社所有，主要用于购买施肥机、秸秆还田机、苗木埋土机等机械4台(套)，在葡萄园安装防覆网20亩，新建电商服务中心1处，购买有机肥、复合肥、农药及果袋等生产物资，合作社每年为村集体分红，增加村集体经济收入。</t>
  </si>
  <si>
    <t>2020.5-2020.10</t>
  </si>
  <si>
    <t>合脱贫办发〔2020〕30号</t>
  </si>
  <si>
    <t>2020.05.09</t>
  </si>
  <si>
    <t>段家集</t>
  </si>
  <si>
    <t>入股合作社，增加村集体收入。</t>
  </si>
  <si>
    <t>段家集、太莪千头肉牛养殖村集体入股项目</t>
  </si>
  <si>
    <t>采取合作联营的方式，通过将投入资金村集体入股到生产经营主体，资金所有权归村集体所有，资金使用权归合作社所有，主要进行肉牛养殖等生产经营活动，合作社每年为村集体分红，增加村集体经济收入。</t>
  </si>
  <si>
    <t>2020.8-2020.11</t>
  </si>
  <si>
    <t>肖咀、段家集果产业（苹果、樱桃）村集体入股项目。</t>
  </si>
  <si>
    <t>采取合作联营的方式，通过将投入资金以村集体入股到生产经营主体的形式，进行生产经营活动，每年为村集体分红，增加村集体经济收入。项目建成后，股权归村集体所有，生产经营权归合作社，合作社自负盈亏，收益分配按照合作社与村集体签订的协议或合同执行，果业发展中心、段集乡、肖咀镇共同负责资金监管。同时，带贫合作社要为贫困户提供就业岗位，流转周边贫困户土地，增加贫困户收入。</t>
  </si>
  <si>
    <t>（二）</t>
  </si>
  <si>
    <t>世行六期扶贫项目(国内配套资金)</t>
  </si>
  <si>
    <t>用于13个合作社基础设施工程建设、环保设施、货物采购国内配套部分，国内配套道路建设、配套供水工程等。将有条件支持合作社发展资金股本化，通过对合作社提供小型基础设施设备、有条件支持合作社发展资金、组建较为规范的全产业发展模式的农民经济合作组织，增加农户特别是贫困户收入，促进合作社可持续发展。按照章程规定的利益分配机制，将合作社的利润提取10%的公积金，提取5%的公益金，剩余的85%为合作社的可分配盈余，其中，可分配盈余的60%按交易额进行返还，40%按社员的股权比例进行收益分红。入股期满后产权归村集体所有，年收益情况根据合作社年利润按股进行量化。</t>
  </si>
  <si>
    <t>合脱贫办发【2018】62号、合脱贫办发【2019】103号</t>
  </si>
  <si>
    <t>2018.12.19、20190.12.23</t>
  </si>
  <si>
    <t>县扶贫办</t>
  </si>
  <si>
    <t>各项目合作社</t>
  </si>
  <si>
    <t>2020.3.21</t>
  </si>
  <si>
    <t>2020.6.30</t>
  </si>
  <si>
    <t>已完成了10个合作社工程建设、环保设施、货物采购，按股权进行了收益分红，带动农户特别是贫困农户增收。</t>
  </si>
  <si>
    <t>（三）</t>
  </si>
  <si>
    <t>全膜玉米种植</t>
  </si>
  <si>
    <t>为全县13828户建档立卡贫困户，按照每户3亩，亩均补助96.6元，（每亩平均补助7公斤）共补助地膜290吨</t>
  </si>
  <si>
    <t>合脱贫发〔2020〕9号</t>
  </si>
  <si>
    <t>2020.03.09</t>
  </si>
  <si>
    <t>县农技中心</t>
  </si>
  <si>
    <t>2020.03.18</t>
  </si>
  <si>
    <t>全县共计发放地膜318.725吨，涉及全县8344户建档立卡贫困户，共覆地膜面积4.6万亩。</t>
  </si>
  <si>
    <t>（四）</t>
  </si>
  <si>
    <t>镀锌钢架大棚建设项目</t>
  </si>
  <si>
    <t>新建设施瓜菜大棚374户374座，每座补助13000元</t>
  </si>
  <si>
    <t>合蔬办发（2020）10号</t>
  </si>
  <si>
    <t>2020.03.08</t>
  </si>
  <si>
    <t>各乡镇人民政府</t>
  </si>
  <si>
    <t>2020.03.10</t>
  </si>
  <si>
    <t>2020.04.09</t>
  </si>
  <si>
    <t>通过到户产业奖补，种植设施蔬菜，助推稳定脱贫。</t>
  </si>
  <si>
    <t>（五）</t>
  </si>
  <si>
    <t>精准扶贫贷款贴息</t>
  </si>
  <si>
    <t>专项用于精准扶贫贷款贴息。</t>
  </si>
  <si>
    <t>2020.3-2020.12</t>
  </si>
  <si>
    <t>甘脱贫领办【2019】88号 甘财金【2020】6号</t>
  </si>
  <si>
    <t>2019.12.3 2020.2</t>
  </si>
  <si>
    <t>县金融办</t>
  </si>
  <si>
    <t>2020.1.1</t>
  </si>
  <si>
    <t>贷款资金已发放，完成贴息率73.5%</t>
  </si>
  <si>
    <t>（六）</t>
  </si>
  <si>
    <t>农村五小产业</t>
  </si>
  <si>
    <t>扶持发展“五小产业”732户，发展小庭院、小家禽、小手工、小买卖、小作坊等。</t>
  </si>
  <si>
    <t>2020.4-2020.7</t>
  </si>
  <si>
    <t>合脱贫办发〔2020〕9号</t>
  </si>
  <si>
    <t>2020.3.9</t>
  </si>
  <si>
    <t>农业农村局</t>
  </si>
  <si>
    <t>深入推进产业扶贫，多渠道增加贫困户收入，
促进稳定脱贫。</t>
  </si>
  <si>
    <t>（七）</t>
  </si>
  <si>
    <t>2020年两类重点户产业奖补项目</t>
  </si>
  <si>
    <t>对357户监测户和604户边缘户发展自种自养产业进行奖补。其中：
（一）养殖业。1.奶山羊养殖：每户自行购买9月龄以上，每只补助3000元；2.肉牛养殖：每户自行购买6月龄以上，体重100公斤以上健康早胜牛、西门塔尔或其它杂交改良基础母牛1头，每头补助5000元；3.肉驴养殖：每户自行购买6月龄以上，体重100公斤以上健康庆阳肉驴基础母驴1匹，每匹补助5000元；4.湖羊养殖：每户自行购买9月龄以上，每只补助2000元；5.仔猪养殖：每户自行购买60日龄以上、体重12.5公斤以上的健康仔猪每只补助1000元；6.能繁母猪：每户自行购买9月龄以上、体重70公斤以上的健康能繁母猪每只补助2500元。每户自行购买数量必须大于等于补助总额除以补助标准单价的数量。
（二）种植业。1.设施大棚蔬菜每座补助10000元（注：蔬菜办投放的除外，脱贫监测户、边缘户每座补助5000元）；2.新栽苹果树每亩补助2000元；3.新栽花椒树每亩补助500元；4.种植露地甜玉米每亩补助500元，设施大棚甜玉米每亩补助1000亩。每户自行种植亩数（座）量必须大于等于补助总额除以补助标准单价的亩数（座）。</t>
  </si>
  <si>
    <t>2020.5-2020.12</t>
  </si>
  <si>
    <t>合脱贫办发〔2020〕17号</t>
  </si>
  <si>
    <t>2020.04.02</t>
  </si>
  <si>
    <t>通过产业扶持，增加边缘户收入，消除边缘户致贫风险</t>
  </si>
  <si>
    <t>（八）</t>
  </si>
  <si>
    <t>带贫合作社疫情期间复工复产奖补</t>
  </si>
  <si>
    <t>扶持2018年以来确定的带贫产业合作社（达到带贫标准和发展规模且规范运营的），按照每户入股资金累计在1万元以上的贫困户基数标准，按户代入奖补资金1000元（多个带贫主体同时带动同一贫困户的按入股资金量分配），支持复工复产。</t>
  </si>
  <si>
    <t>通过奖补政策落实，提供带主体带贫能力和发展动力，为合作社积极应对疫情期提供保障。</t>
  </si>
  <si>
    <t>（九）</t>
  </si>
  <si>
    <t>产业质量提升</t>
  </si>
  <si>
    <t>为全县发展养殖产业的贫困户和带贫企业合作社开展防疫培训和投放防疫物资。</t>
  </si>
  <si>
    <t>合水县兽医局</t>
  </si>
  <si>
    <t>2020.5.6</t>
  </si>
  <si>
    <t>带动800户贫困户及33个
331+合作社收益</t>
  </si>
  <si>
    <t>（十）</t>
  </si>
  <si>
    <t>产业链延伸项目</t>
  </si>
  <si>
    <t>支持采取引进龙头企业、开展消费扶贫行动、扶持建设电商网货加工基地等方式建设完善产业链。</t>
  </si>
  <si>
    <t>工信商务局</t>
  </si>
  <si>
    <t>项目实施方案已提交领导小组审核</t>
  </si>
  <si>
    <t>（十一）</t>
  </si>
  <si>
    <t>其他</t>
  </si>
  <si>
    <t>正气银行</t>
  </si>
  <si>
    <t>扶持12家“正气银行”每个10万元补充物资和开发短期务工岗位用于奖励。</t>
  </si>
  <si>
    <t>合扶贫办发【2020】69号</t>
  </si>
  <si>
    <t>各乡镇</t>
  </si>
  <si>
    <t>正在实施</t>
  </si>
  <si>
    <t>完善精神扶贫奖补机制。</t>
  </si>
  <si>
    <t>巾帼扶贫超市</t>
  </si>
  <si>
    <t>为7家巾帼扶贫超市每个补充投放物资0.6万元。</t>
  </si>
  <si>
    <t>妇联</t>
  </si>
  <si>
    <t>合水县2020年苹果产业发展推进项目</t>
  </si>
  <si>
    <t>采购368040株苹果苗木用于全县苹果新栽；为合水县太莪乡庆阳红果蔬种植农民专业合作社700万元贷款提供贴息补助46万元；建设以“合水苹果”为主题的网站一个，在国内大中型城市建立合水苹果直销窗口一个；在合水县何家畔镇和店子乡进行标准化果园管理1500亩（何家畔镇700亩、店子乡800亩，主推以高光效修剪、黑膜覆盖、有机肥替代化肥、生物物理防治病虫害为主的现代果园管理技术）；在合水县肖咀镇、老城镇、蒿咀铺乡建成苹果树集中连片新栽示范点各一处，政府给予建设的乡镇每亩3公斤黑地膜、300元栽植工费补助；在合水县店子乡、肖咀镇进行郁闭园改造技术推广320亩。通过产业扶持，增加贫困户收入，增强合作社带贫能力和市场竞争力。</t>
  </si>
  <si>
    <t>合果局【2020】发5号</t>
  </si>
  <si>
    <t>2020.3.15</t>
  </si>
  <si>
    <t>县果业发展中心</t>
  </si>
  <si>
    <t>县果业发展中心
涉果11乡镇（西华池、吉岘、何家畔、肖咀、段家集、店子、太莪、板桥、老城、蒿咀铺、固城）</t>
  </si>
  <si>
    <t>带动周边果农规范管理苹果树</t>
  </si>
  <si>
    <t>饲草青贮</t>
  </si>
  <si>
    <t>新种紫花苜蓿3000亩，“331+”养殖专业合作社及贫困户种植青贮玉米、甜高粱等一年生牧草1.5万亩。</t>
  </si>
  <si>
    <t>2020.6-2020.12</t>
  </si>
  <si>
    <t>合发[2020]2号</t>
  </si>
  <si>
    <t>合水县畜牧站</t>
  </si>
  <si>
    <t>为全县“331+”养殖合作社及牛、羊规模养殖场（户）提供充足的优质饲料，带动种植户增收800万元。</t>
  </si>
  <si>
    <t>废旧农膜回收</t>
  </si>
  <si>
    <t>用于废旧地膜“以旧换新”地膜购置；用于交回废旧地膜的劳务补助。提高耕地土壤质量，保护生态环境。</t>
  </si>
  <si>
    <t>2020.6-2020.7</t>
  </si>
  <si>
    <t>合脱贫办发【2020】30号</t>
  </si>
  <si>
    <t>合水县质监站</t>
  </si>
  <si>
    <t>改善土壤环境，提高耕地土壤质量，保护生态环境。</t>
  </si>
  <si>
    <t>2020年春季设施大棚维修启动以奖代补</t>
  </si>
  <si>
    <t>对全县春季维修启动种植速生叶菜、春茬萝卜等和瓜类、茄果类的1768座设施大棚（镀锌钢架、日光温室、水泥骨架净生产面积分别在320㎡、400㎡、480㎡）每座补助400元；小钢架拱棚和连栋钢架大棚按实际种植瓜菜面积折算；水泥骨架大棚已维修启动种植特色瓜菜的，每座补助2000元。
通过项目实施，有效解决了贫困群众春季设施大棚维修难、启动慢、缺资金的难题，提高了菜农种植积极性。</t>
  </si>
  <si>
    <t>合脱贫办发（2020）30号</t>
  </si>
  <si>
    <t>2020.03.01</t>
  </si>
  <si>
    <t>2020.04.01</t>
  </si>
  <si>
    <t>通过项目实施有效解决了贫困群众春季设施大棚维修难、启动慢、缺资金的难题，提高了菜农种植积极性。</t>
  </si>
  <si>
    <t>2020年春季白瓜籽订单种植以奖代补</t>
  </si>
  <si>
    <t>在老城镇和太白镇种植白瓜紫1079.27亩。通过白瓜籽订单种植，有效提高农户抗灾、抗风险能力。</t>
  </si>
  <si>
    <t>2020.05.20</t>
  </si>
  <si>
    <t>通过白瓜籽订单种植，有效提高农户抗灾、抗风险能力，切实增加种植户经济收入。</t>
  </si>
  <si>
    <t>2020年新建设施大棚二茬复种及“三新”技术引进试验示范推广项目。</t>
  </si>
  <si>
    <t>1.为今年新建的374座到户镀锌钢架大棚和300座增加村集体经济收入镀锌钢架大棚(老城镇200座、店子乡100座)每座发放有机肥2袋，萝卜、白菜、白黄瓜籽种各1袋，共需资金131430元;2.为何家畔铁李川智能连栋蔬菜暖棚发放有机肥100袋需资金6000元;3.新品种、新技术、新材料试验示范推广及产品推介费用371883元。</t>
  </si>
  <si>
    <t>2020.6-2020.10</t>
  </si>
  <si>
    <t>合脱贫办发（2020）40号</t>
  </si>
  <si>
    <t>通过项目实施可切实提高新建棚农户种植积极性，促进农民增收，巩固脱贫成效，</t>
  </si>
  <si>
    <t>水稻种植</t>
  </si>
  <si>
    <t>维修水渠2公里，引进新品种水稻籽种6000斤，种植水稻300亩。
建成后可解决群众耕作难、行路难、灌溉难等问题，提高农民收入和生活水平，农业生产条件得到极大改善，可为稳固农业发展起到重要作用。</t>
  </si>
  <si>
    <t>2020.3-2020.11</t>
  </si>
  <si>
    <t>合脱贫发〔2020〕30号</t>
  </si>
  <si>
    <t>2020.5.9</t>
  </si>
  <si>
    <t>带动特色种植项目，带动52户216人产业增收</t>
  </si>
  <si>
    <t>饲草加工专业合作社奖补</t>
  </si>
  <si>
    <t>预计占地11.7亩，计划购置中型揉丝机4台、青贮压捆机2台、青贮收割台1台、干贮压捆机4台，建设储备库1000平方米。
建成后，将实现年青贮500亩、干贮10000亩的贮藏量，可吸纳36人参与合作社务工，带动458户贫困户增收。</t>
  </si>
  <si>
    <t>回收太白镇葫芦河川6000亩干玉米秸秆，促使该镇玉米秸秆饲料化利用率达到70%以上。</t>
  </si>
  <si>
    <t>固城镇王昌寺蔬菜生产基地维修改造项目</t>
  </si>
  <si>
    <t>1.固城镇王昌寺村连栋钢架大棚维修改造工程：安装卷闸门54个，封闭洞口40个，更换损坏棚膜4800平方米，维修损坏卷膜器、卷膜杆40套，安装冷镀锌落水管317套，素土夯实钢架大棚周边基础1800平方米。
2.固城镇王昌寺村蔬菜生产基地水毁边沟维修工程：维修水毁边沟1978米，清理边沟淤泥650立方米，维修破损道路1200米。
3.固城镇王昌寺村蔬菜基地供水及附属配套工程：新挖3000立方米蓄水池1个，配套电杆5根、配电房1间，架设线路400米，蔬菜预冷库新修边沟680米，新挖土排水渠1600米。
该项目建成可解决王昌寺村蔬菜生产基地棚膜破损、产业路及排水边沟水毁等问题，提高生产基地农业现代化竞争力。带动周边群众发展蔬菜产业和吸纳周边富余劳动力就近务工，增加收入。</t>
  </si>
  <si>
    <t>合蔬办发（2020）28号</t>
  </si>
  <si>
    <t>固城镇人民政府</t>
  </si>
  <si>
    <t>2020.07.10</t>
  </si>
  <si>
    <t>该项目建成可解决王昌寺村蔬菜生产基地棚膜破损、产业路及排水边沟水毁等问题，提高生产基地农业现代化竞争力。带动周边群众发展蔬菜产业和吸纳周边富余劳动力就近务工，增加收入。</t>
  </si>
  <si>
    <t>店子乡连家庄村设施蔬菜大棚生产用水和管护房建设</t>
  </si>
  <si>
    <t>在连家庄村设施蔬菜大棚区实施供水及管护房建设 ，埋供水管线3100米，建管护房5个，建瓜菜收集棚1座80平方米
以发展村级集体经济为抓手，“以销定产、以销定量、以需定品”为思路，探索发展“公司+合作社+村集体+贫困户”的利益联结经营模式，实现公司、合作社、村集体、贫困户四方受益。每棚每年由村集体收取分红700元每年收入7万元，60%用于开发公益性岗位，40%用于村基础设施维护，同时，固定输转劳动力10余人，临时用工1000人（次）以上，预计年经济收入可达150万元。</t>
  </si>
  <si>
    <t>2020.3-
2020.4</t>
  </si>
  <si>
    <t>合蔬办发（2020）37号</t>
  </si>
  <si>
    <t>2020.04.15</t>
  </si>
  <si>
    <t>店子乡人民政府</t>
  </si>
  <si>
    <t>2020.07.08</t>
  </si>
  <si>
    <t>2020.08.15</t>
  </si>
  <si>
    <t>通过项目实施可提高连家庄村设施蔬菜大棚区基础装备水平，有效增加村集体经济收入，提供就业岗位，增加收入。</t>
  </si>
  <si>
    <t>板桥镇太白肴老果园改造</t>
  </si>
  <si>
    <t>1、标准园建设1600亩，落实果树拉枝、树下起垄覆膜、行间种草、糖醋液、性诱剂、悬挂粘虫板和购买肥料等标准化管理措施；2、郁闭园改造400亩，隔珠和隔行间伐果树、落实其他标准化管理措施；3、安装杀虫灯30台。
通过老果园改造，果园密度降低，果园通风透光，果实品质提高，病虫害减轻，果园效益提高；减轻病虫害，减少喷农药的次数，果园生态环境进一步得到提高；极大的调动了果农的积极性，苹果产业能够健康稳步的发展。</t>
  </si>
  <si>
    <t>2020.1-2020.12</t>
  </si>
  <si>
    <t>通过老果园改造，果园密度降低，果园通风透光，果实品质提高，病虫害减轻，果园效益提高；减轻病虫害，减少喷农药的次数，果园生态环境进一步得到提高；极大的调动了果农的积极性，苹果产业能够健康稳步的发展。</t>
  </si>
  <si>
    <t>老城镇蔬菜大棚维修项目</t>
  </si>
  <si>
    <t>维修老城镇牧家沟村200座受灾镀锌钢架大棚，恢复合作社正常运营，保障村集体收入。</t>
  </si>
  <si>
    <t>2020.7.6</t>
  </si>
  <si>
    <t>通过项目实施可恢复200座设施大棚生产和合作社正常运营，保障村集体收入。</t>
  </si>
  <si>
    <t>蒿咀铺中药材种植补贴项目</t>
  </si>
  <si>
    <t>用于蒿咀铺中药材种植补贴250亩，每亩补助200元。</t>
  </si>
  <si>
    <t>2020.10-2020.12</t>
  </si>
  <si>
    <t>蒿咀铺</t>
  </si>
  <si>
    <t>吸纳贫困户就业60余人，带动蒿咀铺村、张举塬村2个贫困村20余户贫困户种植天南星</t>
  </si>
  <si>
    <t>消费扶贫馆运营补贴项目</t>
  </si>
  <si>
    <t>为参与在天津运营合水县消费扶贫馆的企业，按照销售合水县带贫企业合作社、贫困户的农产品的金额目标任务予以奖补，具体标准由县工信商务局制定，并负责主管实施</t>
  </si>
  <si>
    <t>帮助贫困户就业</t>
  </si>
  <si>
    <t>合水县带贫合作社资产收益评估费</t>
  </si>
  <si>
    <t>用于全县52个合作社资产收益评估费用</t>
  </si>
  <si>
    <t>2020.6-2020.9</t>
  </si>
  <si>
    <t>合脱贫领发
【2020】41号</t>
  </si>
  <si>
    <t>2020.06.28</t>
  </si>
  <si>
    <t>县农经局</t>
  </si>
  <si>
    <t>保障入股资金安全</t>
  </si>
  <si>
    <t>二、</t>
  </si>
  <si>
    <t>就业扶贫</t>
  </si>
  <si>
    <t>农村扶贫公益性岗位（省级安排）</t>
  </si>
  <si>
    <t>开发乡村疫情防控临时公益专岗80人（3月份上岗）、乡村爱心理发员、易地扶贫搬迁点公益性岗位110人（4月份上岗）（其中省级财政通过就业补助资金开发55个，县区通过市县两级财政专项扶贫资金和县区自筹资金开发55个）、乡村住房安全巡查员80人（4月份上岗），每人每月补助500元。</t>
  </si>
  <si>
    <t>县人社局</t>
  </si>
  <si>
    <t>农村扶贫公益性岗位（县级安排）</t>
  </si>
  <si>
    <t>卫生保洁员专岗498个、监督员专岗29个，保洁员每人每年补助1万元，监督员每人每年补助1.2万元。</t>
  </si>
  <si>
    <t>县住建局</t>
  </si>
  <si>
    <t>公益性设施维护员（兼道交员、劝导员、乡村公路维护员）</t>
  </si>
  <si>
    <t>每个行政村配备公益性设施维护员（兼道交员、劝导员、乡村公路维护员）1人，共80人，总投资80万元，由县农业农村局主管实施。</t>
  </si>
  <si>
    <t>垃圾中转站管理员及分类保洁员（兼乡镇污水处理站管理员）</t>
  </si>
  <si>
    <t>每个乡镇配备垃圾中转站管理员（兼乡镇污水处理站管理员）1人，共12人；乡镇街道垃圾分类保洁员11人（吉岘镇3人、板桥镇2人、老城镇2人、蒿咀铺乡2人、太白镇2人）。总投资18.4万元，由县住建局主管实施。</t>
  </si>
  <si>
    <t>乡镇水管员及河湖保洁员</t>
  </si>
  <si>
    <t>配备乡镇水管员及河湖保洁员54人（其中河湖保洁员4人、水管员21人、水管员兼保洁员29人）。总投资51.4万元，由县水务局主管实施。</t>
  </si>
  <si>
    <t>县水务局</t>
  </si>
  <si>
    <t>劳务输转稳岗奖补</t>
  </si>
  <si>
    <t>1、补助56名到东部城市就业的建档立卡贫困户劳务奖补每人2400元。
2、补助500名到省内就近就地就业的建档立卡贫困户交通补贴每人300元、补助399名到省外及其他地区就业的建档立卡贫困户交通补贴每人600元。</t>
  </si>
  <si>
    <t>劳务输转生活费补贴</t>
  </si>
  <si>
    <t>经组织或自谋输转，与县内用人企业签订6个月以上劳动合同并实际履行的建档立卡贫困劳动力，按500元/人的标准给予生活费补贴，共计补贴100人。</t>
  </si>
  <si>
    <t>扶贫车间运费补贴</t>
  </si>
  <si>
    <t>对认定的扶贫车间跨省区调用原料和成品运输的，对其运输费按50%给予补贴。</t>
  </si>
  <si>
    <t>合人社发[2020]121号</t>
  </si>
  <si>
    <t>劳务技能培训</t>
  </si>
  <si>
    <t>1、培训建档立卡贫困户种养殖技术180人。培训建档立卡贫困户苹果生产管理技术110人。培训建档立卡贫困户蔬菜生产管理技术110人。培训建档立卡贫困户汽车驾驶技能200人。
2、劳务培训400人（汽车驾驶员除外）每人每天补助生活费30元，按农村实用技术培训7天，</t>
  </si>
  <si>
    <t>合政办发[2020]41号</t>
  </si>
  <si>
    <t>创业致富带头人培训</t>
  </si>
  <si>
    <t>开展34个贫困村致富带头人150人以上。</t>
  </si>
  <si>
    <t>甘开办发〔2020〕45号</t>
  </si>
  <si>
    <t>2020.3.18</t>
  </si>
  <si>
    <t>庆阳林校</t>
  </si>
  <si>
    <t>2020.06.01</t>
  </si>
  <si>
    <t>2020.09.30</t>
  </si>
  <si>
    <t>提升农业种养技术，掌握种养殖技术、合作社运营管理、市场营销、电子商务。</t>
  </si>
  <si>
    <t>生产经营主体吸纳贫困劳动力就业奖补</t>
  </si>
  <si>
    <t>企业、扶贫车间、合作社、家庭农场等各类生产经营主体吸纳本地贫困劳动力且稳定就业半年以上的，按3000元/人标准给予生产经营主体一次性奖补，稳定就业1年以上的，按5000元/人标准给予生产经营主体一次性奖补。</t>
  </si>
  <si>
    <t>县人社局、县工信商务局</t>
  </si>
  <si>
    <t>“雨露计划”资助</t>
  </si>
  <si>
    <t>对符合雨露计划资助条件的学生1340人次，按照每生每学期1500元（每学年3000元）的标准，进行补助。</t>
  </si>
  <si>
    <t>2020.4-2020.6</t>
  </si>
  <si>
    <t>专场招聘活动</t>
  </si>
  <si>
    <t>举办“春风行动”暨天津红桥区企业用工招聘会，编印劳务用工信息服务指南。</t>
  </si>
  <si>
    <t>县就业局</t>
  </si>
  <si>
    <t>三、</t>
  </si>
  <si>
    <t>健康扶贫</t>
  </si>
  <si>
    <t>残疾人扶贫</t>
  </si>
  <si>
    <t>扶持580名残疾人提供医疗器械补助，开展实用技术培训，提高生产生活能力。</t>
  </si>
  <si>
    <t>2020.4-2020.8</t>
  </si>
  <si>
    <t>合脱贫办发
[2020]
17号</t>
  </si>
  <si>
    <t>县残联</t>
  </si>
  <si>
    <t>2020.4.9</t>
  </si>
  <si>
    <t>2020.5.31</t>
  </si>
  <si>
    <t>140名残疾人提高了就业技能，
442名残疾人改善了生活条件。</t>
  </si>
  <si>
    <t>四、</t>
  </si>
  <si>
    <t>住房安全保障</t>
  </si>
  <si>
    <t>贫困户危房改造提升</t>
  </si>
  <si>
    <t>实施四类重点对象危房改造25户，其中建档立卡贫困户18户，分散供养特困人员2户，贫困残疾人家庭4户、优抚对象1户。户均补助2万元</t>
  </si>
  <si>
    <t>五、</t>
  </si>
  <si>
    <t>易地搬迁</t>
  </si>
  <si>
    <t>易地扶贫搬迁贷款贴息</t>
  </si>
  <si>
    <t>易地扶贫搬迁贴息贷款资金</t>
  </si>
  <si>
    <t>2020.2-2020.4</t>
  </si>
  <si>
    <t>庆市发改【2016】220号庆市发改【2017】143号庆市发改【2017】144号</t>
  </si>
  <si>
    <t>2016.8.12 2017.6.8 2017.6.9</t>
  </si>
  <si>
    <t>2016年</t>
  </si>
  <si>
    <t>2018年</t>
  </si>
  <si>
    <t>项目已全部完成，根据贷款期限，按期予以贴息</t>
  </si>
  <si>
    <t>七、</t>
  </si>
  <si>
    <t>贫困村整体提升工程</t>
  </si>
  <si>
    <t>高标准农田建设</t>
  </si>
  <si>
    <t>1.高标准农田水利建设基础设施配套，计划新修水泥路3公里，砂石路25公里，埋设管道10公里，节水灌溉6000亩。
2.新建土地平100亩，购置有机肥38400公斤，机械深松4800亩，新打小电井250眼，新建大口容324座，埋设管道6.5公里，衬砌U60型田间排水渠1.67公里，衬砌梯形田间排水渠0.85公里，新修砂石路12.5公里，新修3米水泥路9公里，衬砌水泥边沟8公里，设置边沟涵150处，每处长3m长1-0.3m钢筋砼圆管涵，设置涵洞50处，每处为6m长1-0.5m圆管涵12处。新栽防护林10000棵，为新打小电井配套架设高压线路1公里。为新打小电井配套架设低压线路3公里。为新打小电井配套专项变压器2合示范推广富农58、中地88、金北168新品种玉米2800亩。示范推广陇玉系列小麦2000亩。</t>
  </si>
  <si>
    <t xml:space="preserve">合脱贫领发[2020]44号、合脱贫领发[2020]46号  </t>
  </si>
  <si>
    <t>庆农发{2020}69号、庆农发{2020}115号</t>
  </si>
  <si>
    <t>2020.6.10</t>
  </si>
  <si>
    <t>计划平田整地100亩；土壤改良10000亩；新建泵站1座，新建大口窖324座，新打小电井240眼，衬砌田间排洪渠2.044km，埋设管道41.357km；新修田间道路28.59km，其中水泥路9.89公里，砂石道路18.7km；营造农田防护林10560棵‘新品种示范推广4800亩。重点向贫困村和贫困户倾斜。</t>
  </si>
  <si>
    <t>安全饮水</t>
  </si>
  <si>
    <t>合水县农村饮水维修改造工程</t>
  </si>
  <si>
    <t>更换78348m供水管线，采购小电井净化设备388套，自来水入户812户。</t>
  </si>
  <si>
    <t>庆市水审发【2019】5号</t>
  </si>
  <si>
    <t>2020.2.18</t>
  </si>
  <si>
    <t>合水县水利建设管理站</t>
  </si>
  <si>
    <t>2020.6.20</t>
  </si>
  <si>
    <t>项目建成后，解决了10个乡镇30个村116个村民小组6927户23973人的供水问题，效益明显。</t>
  </si>
  <si>
    <t>合水县农村供水设施维修项目</t>
  </si>
  <si>
    <t>更换39623m供水管线，新打小电井46眼，计量设施92套，清洗采购二氧化氯发生器10套，维修改造农户入户设施、更换部分农户年久老化入户管线，安装冬季取水软管。</t>
  </si>
  <si>
    <t>合脱贫办发[2020]17号、合脱贫领发【2020】46号</t>
  </si>
  <si>
    <t>合水务发（2020）38号、39号、40号、41号</t>
  </si>
  <si>
    <t>2020.3.26</t>
  </si>
  <si>
    <t>2020.5.12</t>
  </si>
  <si>
    <t>2020.6.12</t>
  </si>
  <si>
    <t>项目建成后，共解决24592户11024人的饮水问题</t>
  </si>
  <si>
    <t>安全饮水项目维修工程</t>
  </si>
  <si>
    <t>1.何家畔：北庄机井维修（4×25mm2铝芯电缆线），北头机井维修（电缆（VV-4×10mm2））；2.西吉供水维修工程：管道土方659m，管材659m，维修闸阀井设施1座；3.固店维修供水工程：PE DN110法兰2套，DN110软密阀2个，DN40锁阀1个，DN40软密阀1个，DN40水表1个，4.定祥泵站扬水工程维修：Dg89上水钢管（壁厚4mm)300m、电缆（VV-4×25mm2）200m、配电柜1面、150QJ10-56/7潜水泵2台。</t>
  </si>
  <si>
    <t>合水务发
【2020】114号、115号</t>
  </si>
  <si>
    <t>2020.6.15</t>
  </si>
  <si>
    <t>县城乡供水总公司</t>
  </si>
  <si>
    <t>2020.8.1</t>
  </si>
  <si>
    <t>项目建成后，解决了6个乡镇18个村68个村民小组的供水问题，效益明显。</t>
  </si>
  <si>
    <t>固店供水维修工程</t>
  </si>
  <si>
    <t>更换100级PE管网20m，其中：铺设DN110PE管（1.0MPa）20m；砼拆除10.80 m3，C25砼路面恢复10.80m3；更换DN20智能水表788套。</t>
  </si>
  <si>
    <t>合水务发
【2020】117号</t>
  </si>
  <si>
    <t>项目建成后，解决了3个乡镇9个行政村58个自然村</t>
  </si>
  <si>
    <t>西吉供水维修工程</t>
  </si>
  <si>
    <t>维修各类100及PE管网626m，其中：DN500PE管（1.6MPa）47m，DN160PE管（1.0MPa）18m，DN125PE管（1.0MPa）10m，DN225PE管（1.0MPa）37m，DN110PE管（1.0MPa）28m，DN250PE管（1.6MPa）60m，DN90PE管（1.6MPa）20m,DN63PE管（1.6MPa）10m，DN50PE管（1.6MPa）95m，DN32PE管（1.6MPa）295m，DN25PE管（1.6MPa）6m；新建闸阀井1座；透水砖拆除240m2，M10砂浆铺透水砖（利用50%）120m2，M10砂浆铺透水砖（新铺50%）120m2，砼拆除48m3，C25砼路面恢复48m3；更换DN20智能水表212套。</t>
  </si>
  <si>
    <t>合水务发
【116】号</t>
  </si>
  <si>
    <t>项目建成后，解决了2个乡镇212户706人的供水问题，效益明显。</t>
  </si>
  <si>
    <t>段家集乡王庄村机井供水工程</t>
  </si>
  <si>
    <t>新打500m深的机井1眼，安装200QJ20-437/33型(45KW)潜水泵1台，扬程为437米；安装Dg89上水无缝钢管(壁厚6mm)480m，JHS-3×70mm防水橡套电缆480m；ZNDK-1B-G-75(自耦降压)启动柜1台；新建500m3临时蓄水池共1座，新建配电房1座（9m2）；铁艺围栏60m；管线穿路30m。新建加压泵站1座（26.46m2），安装65GD-40型管道泵2台，18KVA变频控制柜1台。铺设各类100级PE管材430m，其中：100级Dn90PE（1.0MPa）管150m；100级Dn75PE管（1.0MPa）280m；新建闸阀井28座。安装100KVA变压器1台，架设高压线路0.10km，低压线路0.10km，高压计量器1台。安装自动化设备1套。</t>
  </si>
  <si>
    <t>2020.8-2020.12</t>
  </si>
  <si>
    <t>饮水安全工程高温蒸汽疏通设备采购</t>
  </si>
  <si>
    <t>采购高温蒸汽疏通设备采购2台，保障贫困群众冬季供水安全。</t>
  </si>
  <si>
    <t>2020.10.</t>
  </si>
  <si>
    <t>村组道路</t>
  </si>
  <si>
    <t>合水县何家畔镇郭家庄村组道路硬化工程</t>
  </si>
  <si>
    <t>新修水泥路3.506公里</t>
  </si>
  <si>
    <t>合交发（2020）61号</t>
  </si>
  <si>
    <t>2020.3.16</t>
  </si>
  <si>
    <t>县交通局</t>
  </si>
  <si>
    <t>县公路局</t>
  </si>
  <si>
    <t>2020.8.15</t>
  </si>
  <si>
    <t>切实为当地产业运输提供保障满足沿线群众出行</t>
  </si>
  <si>
    <t>合水县何家畔镇何家畔村组道路硬化工程</t>
  </si>
  <si>
    <t>新修水泥路2.861公里</t>
  </si>
  <si>
    <t>合水县何家畔镇崾岘村组道路硬化工程</t>
  </si>
  <si>
    <t>新修水泥路3.412公里</t>
  </si>
  <si>
    <t>合水县板桥镇司家峁至严川村组道路硬化工程</t>
  </si>
  <si>
    <t>新修水泥路2.526公里</t>
  </si>
  <si>
    <t>合水县板桥镇唐沟圈至马咀村组道路硬化工程</t>
  </si>
  <si>
    <t>新修水泥路3.224公里</t>
  </si>
  <si>
    <t>合水县肖咀镇石老庄村组道路硬化工程</t>
  </si>
  <si>
    <t>新修水泥路3.411公里</t>
  </si>
  <si>
    <t>合水县店子乡东庄至庙庄村组道路硬化工程</t>
  </si>
  <si>
    <t>新修水泥路0.995公里</t>
  </si>
  <si>
    <t>合水县孙家咀至候家咀村组道路硬化工程</t>
  </si>
  <si>
    <t>新修水泥路3.785公里</t>
  </si>
  <si>
    <t>合交发（2020）82号</t>
  </si>
  <si>
    <t>2020.5.21</t>
  </si>
  <si>
    <t>合水县吉岘镇郝家庄至严咀村组道路硬化工程</t>
  </si>
  <si>
    <t>新修水泥路5.606公里</t>
  </si>
  <si>
    <t>合脱贫领发【2020】46号</t>
  </si>
  <si>
    <t>合交发（2020）83号</t>
  </si>
  <si>
    <t>合水县老城镇寺儿塬村组道路硬化工程</t>
  </si>
  <si>
    <t>新修水泥路2.712公里</t>
  </si>
  <si>
    <t>合水县段家集乡北头至小川子、肖咀镇沟圈村老旧路面大中修工程</t>
  </si>
  <si>
    <t>新修水泥路3.68公里</t>
  </si>
  <si>
    <t>合交发（2020）84号</t>
  </si>
  <si>
    <t>2020.4.10</t>
  </si>
  <si>
    <t>合水县太白镇葫芦河黑山洞村组道路硬化工程</t>
  </si>
  <si>
    <t>新修水泥路3.37公里</t>
  </si>
  <si>
    <t>合脱贫领发[2020]44号、合脱贫领发【2020】46号</t>
  </si>
  <si>
    <t>合水县老城镇东关村组道路硬化工程</t>
  </si>
  <si>
    <t>新修水泥路1.67公里</t>
  </si>
  <si>
    <t>合水县太白镇葫芦河安沟门村组道路硬化工程</t>
  </si>
  <si>
    <t>新修水泥路3.553公里</t>
  </si>
  <si>
    <t>合水县店子乡朱家新庄至朱家老庄老旧路面大中修工程</t>
  </si>
  <si>
    <t>新修水泥路2.83公里</t>
  </si>
  <si>
    <t>合水县段家集村道老旧路面大中修工程</t>
  </si>
  <si>
    <t>新修水泥路6.15公里</t>
  </si>
  <si>
    <t>合水县太莪乡关良至王峁老旧路面大中修工程</t>
  </si>
  <si>
    <t>新修水泥路5.574公里</t>
  </si>
  <si>
    <t>农村水毁路维修项目</t>
  </si>
  <si>
    <t>专项用于水毁路维修</t>
  </si>
  <si>
    <t>合交发【2020】72号</t>
  </si>
  <si>
    <t>2020.4.5</t>
  </si>
  <si>
    <t>2020.4.20</t>
  </si>
  <si>
    <t>保持了公路原有良好状态和服务水平。延长公路使用年限。</t>
  </si>
  <si>
    <t>(三)</t>
  </si>
  <si>
    <t>砂石路、产业路（以工代赈）</t>
  </si>
  <si>
    <t>鼓励施工单位采取以工代赈方式，积极组织并优先吸纳贫困群众参与工程建设，为贫困群众提供就业岗位，贫困劳动力占建设用工的30%以上。</t>
  </si>
  <si>
    <t>板桥镇西庄村社公台组砂石路</t>
  </si>
  <si>
    <t>新修砂石路2.35公里</t>
  </si>
  <si>
    <t>合脱贫领发
【2020】19号</t>
  </si>
  <si>
    <t>2020.4.25</t>
  </si>
  <si>
    <t>2020.5.25</t>
  </si>
  <si>
    <t>解决群众出行难、运输难问题</t>
  </si>
  <si>
    <t>何家畔镇田咀东梁至太乐沟碑子山砂石路维修</t>
  </si>
  <si>
    <t>田咀东梁至太乐沟碑子山砂石路3.8公里（维修）</t>
  </si>
  <si>
    <t>何家畔镇何家畔村南环路</t>
  </si>
  <si>
    <t>南环路铺设1公里沙石路面</t>
  </si>
  <si>
    <t>何家畔镇赵楼子村铁李川组砂石路</t>
  </si>
  <si>
    <t>新修铁李川蔬菜大棚内道路2.2公里</t>
  </si>
  <si>
    <t>何家畔镇姚坑崂大户村砂石路维修项目。</t>
  </si>
  <si>
    <t>维修何家畔镇姚坑崂大户村砂石路2公里</t>
  </si>
  <si>
    <t>老城镇杨坪村田坪至大岔组砂石路</t>
  </si>
  <si>
    <t>新修砂石路3.5公里</t>
  </si>
  <si>
    <t>西华池镇杨沟崂村雷家坡村砂石路</t>
  </si>
  <si>
    <t>新修砂石路0.8公里</t>
  </si>
  <si>
    <t>西华池镇杨沟崂砂石路项目</t>
  </si>
  <si>
    <t>新修砂石路1.57公里.，其中马家庄组0.88公里、杨新庄0.69公里。</t>
  </si>
  <si>
    <t>太莪乡北掌村砂石路</t>
  </si>
  <si>
    <t>新修砂石路1公里</t>
  </si>
  <si>
    <t>正在招标</t>
  </si>
  <si>
    <t>太莪乡北掌村产业化道路</t>
  </si>
  <si>
    <t>新修水泥路0.8公里</t>
  </si>
  <si>
    <t>肖咀镇肖咀村东岭砂石路</t>
  </si>
  <si>
    <t>新修砂石路3.3公里</t>
  </si>
  <si>
    <t>2020.6.9</t>
  </si>
  <si>
    <t>肖咀镇肖咀村西岭砂石路</t>
  </si>
  <si>
    <t>新修砂石路3.1公里</t>
  </si>
  <si>
    <t>何家畔镇产白村王坑崂组道路排水工程</t>
  </si>
  <si>
    <t>新修500立方涝池一座，边沟500米，新建栅栏围墙20米，压埋过路涵20根。</t>
  </si>
  <si>
    <t>段家集镇北头村小川子砂石路建设项目</t>
  </si>
  <si>
    <t>新修砂石路4公里</t>
  </si>
  <si>
    <t>2020.9-2020.11</t>
  </si>
  <si>
    <t>吉岘镇郝家庄村砂石路建设项目</t>
  </si>
  <si>
    <t>新修砂石路1.7公里</t>
  </si>
  <si>
    <t>西华池镇三里店村小川组砂石路建设项目</t>
  </si>
  <si>
    <t>肖咀镇北沟、玉皇沟砂石路建设项目。</t>
  </si>
  <si>
    <t>投资154万元，在肖咀镇北沟、玉皇沟新修砂石路7公里</t>
  </si>
  <si>
    <t>县水保局</t>
  </si>
  <si>
    <t>肖咀镇卓堡村北沟砂石路</t>
  </si>
  <si>
    <t>新修砂石路8公里</t>
  </si>
  <si>
    <t>2016.7-2020.9</t>
  </si>
  <si>
    <t>漫水桥（以工代赈）</t>
  </si>
  <si>
    <t>固城镇固城村窑庄漫水桥建设项目</t>
  </si>
  <si>
    <t>新建窑庄组漫水桥1座（1跨），桥头引线1000米</t>
  </si>
  <si>
    <t>蒿咀铺乡九站村漫水桥</t>
  </si>
  <si>
    <t>新建漫水桥1座，长16米（2跨）</t>
  </si>
  <si>
    <t>蒿咀铺乡蒿咀铺村漫水桥</t>
  </si>
  <si>
    <t>新建漫水桥1座，长16米（2跨），桥头引线1600米</t>
  </si>
  <si>
    <t>蒿咀铺乡陈家河村芋子沟组漫水桥</t>
  </si>
  <si>
    <t>新建漫水桥1座，长8米（1跨），桥头引线100米</t>
  </si>
  <si>
    <t>蒿咀铺乡陈家河村陈家河组漫水桥</t>
  </si>
  <si>
    <t>新建漫水桥1座，长8米（1跨），桥头引线190米</t>
  </si>
  <si>
    <t>√</t>
  </si>
  <si>
    <t>吉岘镇九倾湾村漫水桥建设</t>
  </si>
  <si>
    <t>新建慢桥1座，长16米（2跨），桥头引线150米</t>
  </si>
  <si>
    <t>老城镇庙庄村李家台沟漫水桥建设项目</t>
  </si>
  <si>
    <t>新建漫水桥1座，长8米（1跨）</t>
  </si>
  <si>
    <t>0.012</t>
  </si>
  <si>
    <t>0.035</t>
  </si>
  <si>
    <t>老城镇牧家沟村杜家湾漫水桥建设项目</t>
  </si>
  <si>
    <t>修建漫水桥1座，24米(3跨)</t>
  </si>
  <si>
    <t>0.042</t>
  </si>
  <si>
    <t>0.023</t>
  </si>
  <si>
    <t>老城镇牧家沟村漫水桥维修</t>
  </si>
  <si>
    <t>维修新建桥头引线50米，加固衬切墙体200m³</t>
  </si>
  <si>
    <t>0.0036</t>
  </si>
  <si>
    <t>0.0122</t>
  </si>
  <si>
    <t>西华池乡三里店村小川1号漫水桥建设</t>
  </si>
  <si>
    <t>新建慢桥1座，长8米（1跨），桥头引线100米。</t>
  </si>
  <si>
    <t>西华池乡三里店村小川2号漫水桥建设</t>
  </si>
  <si>
    <t>新建慢桥1座，长8米（1跨），桥头引线300米。</t>
  </si>
  <si>
    <t>西华池乡三里店村小川3号漫水桥建设</t>
  </si>
  <si>
    <t>新建慢桥1座，长8米（1跨），桥头引线600米。</t>
  </si>
  <si>
    <t>何家畔镇维修太乐沟漫水桥</t>
  </si>
  <si>
    <t>维修太乐沟漫水桥，长8米（1跨）</t>
  </si>
  <si>
    <t>段家集乡北头村前良组小川漫水桥（一跨）38万元</t>
  </si>
  <si>
    <t>肖咀镇西沟村1号漫水桥建设</t>
  </si>
  <si>
    <t>新建慢桥1座，长8米（1跨），桥头引线200米</t>
  </si>
  <si>
    <t>2020.4-2020.10</t>
  </si>
  <si>
    <t>肖咀镇西沟村2号漫水桥建设</t>
  </si>
  <si>
    <t>肖咀镇西沟村3号漫水桥建设</t>
  </si>
  <si>
    <t>肖咀镇肖咀村1号漫水桥建设</t>
  </si>
  <si>
    <t>新建慢桥1座，长8米（1跨），桥头引线300米</t>
  </si>
  <si>
    <t>肖咀镇肖咀村2号漫水桥建设</t>
  </si>
  <si>
    <t>固城镇固城村庙咀漫水桥建设项目</t>
  </si>
  <si>
    <t>新建庙咀组漫水桥1座（1跨），桥头引线2000米</t>
  </si>
  <si>
    <t>太白镇牛车坡村漫水桥建设</t>
  </si>
  <si>
    <t>新建漫水桥1座，长16米（2跨），桥头引线600米，压设涵管1处（长6米，直径1米）</t>
  </si>
  <si>
    <t>太白镇莲花寺村李家庄组清水田漫水桥建设</t>
  </si>
  <si>
    <t>太白镇莲花寺村李家庄组药葫芦地台漫水桥建设</t>
  </si>
  <si>
    <t>新建漫水桥1座，长8米（1跨），桥头引线40米</t>
  </si>
  <si>
    <t>太白镇连家砭村苗村组段家湾漫水桥</t>
  </si>
  <si>
    <t>新建漫水桥1座，长8米（1跨），桥头引线200米</t>
  </si>
  <si>
    <t>太白镇莲花寺村李家庄组坝梁山漫水桥建设</t>
  </si>
  <si>
    <t>新建漫水桥1座，长8米（1跨），桥头引线60米</t>
  </si>
  <si>
    <t>太白镇连家砭村苗村组漫水桥建设项目</t>
  </si>
  <si>
    <t>新建1跨漫水桥1座。</t>
  </si>
  <si>
    <t>老城镇杨坪村安岔沟漫水桥建设项目（上游）</t>
  </si>
  <si>
    <t>新建1跨漫水桥1座</t>
  </si>
  <si>
    <t>老城镇杨坪村白岔子漫水桥建设项目(下游）</t>
  </si>
  <si>
    <t>老城镇牧家沟村白家沟漫水桥维修。</t>
  </si>
  <si>
    <t>2020.6.7</t>
  </si>
  <si>
    <t>2020.7.22</t>
  </si>
  <si>
    <t>肖咀镇卓堡村北沟至4号坝1号漫水桥建设。</t>
  </si>
  <si>
    <t>2020.7.7</t>
  </si>
  <si>
    <t>肖咀镇卓堡村北沟至4号坝2号漫水桥建设。</t>
  </si>
  <si>
    <t>肖咀镇卓堡村漫水桥建设。</t>
  </si>
  <si>
    <t>肖咀镇铁赵村漫水桥建设。</t>
  </si>
  <si>
    <t>太莪乡邢坪村漫水桥建设。</t>
  </si>
  <si>
    <t>西华池镇华寺村漫水桥建设。</t>
  </si>
  <si>
    <t>生活条件改善</t>
  </si>
  <si>
    <t>“三化”工程（入户路硬化、村内巷道硬化）</t>
  </si>
  <si>
    <t>实施入户路硬化4万平方米。</t>
  </si>
  <si>
    <t>合脱贫领发
【2020】26号</t>
  </si>
  <si>
    <t>2020.5.8</t>
  </si>
  <si>
    <t>太白镇、蒿咀铺、板桥、老城、何家畔、固城、段家集、肖咀、吉岘、太莪、店子</t>
  </si>
  <si>
    <t>0.015</t>
  </si>
  <si>
    <t>户厕改造补助</t>
  </si>
  <si>
    <t>新改建卫生厕所4850座</t>
  </si>
  <si>
    <t>2020.3-2020.10</t>
  </si>
  <si>
    <t>合办字（2020）12号</t>
  </si>
  <si>
    <t>改善群众生活条件</t>
  </si>
  <si>
    <t>村级公益性设施共管共享管护</t>
  </si>
  <si>
    <t>每个行政村村级公益性设施共管共享管护基金1万元，用于维修、维护村级公益性设施。</t>
  </si>
  <si>
    <t>农业生产用电</t>
  </si>
  <si>
    <t>2020.7-2020.8</t>
  </si>
  <si>
    <t>固城乡王昌寺村设施农业示范区农业生产用电项目</t>
  </si>
  <si>
    <t>架设线路1.7公里，解决该示范区农业生产用电</t>
  </si>
  <si>
    <t>段家集乡王庄村供电设施建设项目</t>
  </si>
  <si>
    <t>安装变压器1台，架设高压线230米。由县农业农村局主管实施</t>
  </si>
  <si>
    <t>段家集乡</t>
  </si>
  <si>
    <t>项目管理费</t>
  </si>
  <si>
    <t>围绕编制、审核扶贫项目规划、实施和管理财政专项扶贫资金和项目而发生的相关费用。专门用于扶贫规划编制、项目评估、勘察设计、项目招投标、质量监理、检查验收、成果宣传、档案管理、项目公告公示、报账管理等相关方面的经费开支。</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</si>
</sst>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Red]\(0.00\)"/>
    <numFmt numFmtId="178" formatCode="0.00;[Red]0.00"/>
    <numFmt numFmtId="179" formatCode="0_);[Red]\(0\)"/>
    <numFmt numFmtId="180" formatCode="0.0000_);[Red]\(0.0000\)"/>
    <numFmt numFmtId="181" formatCode="0.00_ "/>
  </numFmts>
  <fonts count="40">
    <font>
      <sz val="11"/>
      <color theme="1"/>
      <name val="宋体"/>
      <charset val="134"/>
      <scheme val="minor"/>
    </font>
    <font>
      <sz val="11"/>
      <name val="宋体"/>
      <charset val="134"/>
      <scheme val="minor"/>
    </font>
    <font>
      <b/>
      <sz val="11"/>
      <name val="黑体"/>
      <charset val="134"/>
    </font>
    <font>
      <b/>
      <sz val="11"/>
      <name val="宋体"/>
      <charset val="134"/>
    </font>
    <font>
      <sz val="11"/>
      <name val="宋体"/>
      <charset val="134"/>
    </font>
    <font>
      <sz val="11"/>
      <color theme="1"/>
      <name val="宋体"/>
      <charset val="134"/>
    </font>
    <font>
      <b/>
      <sz val="22"/>
      <name val="宋体"/>
      <charset val="134"/>
      <scheme val="major"/>
    </font>
    <font>
      <sz val="14"/>
      <name val="仿宋_GB2312"/>
      <charset val="134"/>
    </font>
    <font>
      <b/>
      <sz val="14"/>
      <name val="宋体"/>
      <charset val="134"/>
      <scheme val="major"/>
    </font>
    <font>
      <b/>
      <sz val="10"/>
      <name val="宋体"/>
      <charset val="134"/>
      <scheme val="minor"/>
    </font>
    <font>
      <sz val="10"/>
      <name val="宋体"/>
      <charset val="134"/>
      <scheme val="minor"/>
    </font>
    <font>
      <sz val="10"/>
      <color theme="1"/>
      <name val="仿宋_GB2312"/>
      <charset val="134"/>
    </font>
    <font>
      <sz val="10"/>
      <name val="宋体"/>
      <charset val="134"/>
    </font>
    <font>
      <sz val="10"/>
      <name val="宋体"/>
      <charset val="134"/>
      <scheme val="major"/>
    </font>
    <font>
      <sz val="10"/>
      <color theme="1"/>
      <name val="宋体"/>
      <charset val="134"/>
      <scheme val="minor"/>
    </font>
    <font>
      <sz val="8"/>
      <color theme="1"/>
      <name val="楷体"/>
      <charset val="134"/>
    </font>
    <font>
      <sz val="10"/>
      <name val="宋体"/>
      <charset val="0"/>
      <scheme val="minor"/>
    </font>
    <font>
      <b/>
      <sz val="10"/>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2"/>
      <name val="Times New Roman"/>
      <charset val="134"/>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2"/>
      <name val="宋体"/>
      <charset val="134"/>
    </font>
    <font>
      <b/>
      <sz val="11"/>
      <color rgb="FFFA7D00"/>
      <name val="宋体"/>
      <charset val="0"/>
      <scheme val="minor"/>
    </font>
    <font>
      <sz val="11"/>
      <color rgb="FF006100"/>
      <name val="宋体"/>
      <charset val="0"/>
      <scheme val="minor"/>
    </font>
    <font>
      <sz val="11"/>
      <color rgb="FFFA7D00"/>
      <name val="宋体"/>
      <charset val="0"/>
      <scheme val="minor"/>
    </font>
    <font>
      <sz val="10"/>
      <color theme="1"/>
      <name val="Times New Roman"/>
      <charset val="134"/>
    </font>
  </fonts>
  <fills count="35">
    <fill>
      <patternFill patternType="none"/>
    </fill>
    <fill>
      <patternFill patternType="gray125"/>
    </fill>
    <fill>
      <patternFill patternType="solid">
        <fgColor rgb="FFFFFF00"/>
        <bgColor indexed="64"/>
      </patternFill>
    </fill>
    <fill>
      <patternFill patternType="solid">
        <fgColor theme="0" tint="-0.05"/>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1"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2" applyNumberFormat="0" applyFont="0" applyAlignment="0" applyProtection="0">
      <alignment vertical="center"/>
    </xf>
    <xf numFmtId="0" fontId="20" fillId="30"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9" applyNumberFormat="0" applyFill="0" applyAlignment="0" applyProtection="0">
      <alignment vertical="center"/>
    </xf>
    <xf numFmtId="0" fontId="21" fillId="0" borderId="9" applyNumberFormat="0" applyFill="0" applyAlignment="0" applyProtection="0">
      <alignment vertical="center"/>
    </xf>
    <xf numFmtId="0" fontId="20" fillId="25" borderId="0" applyNumberFormat="0" applyBorder="0" applyAlignment="0" applyProtection="0">
      <alignment vertical="center"/>
    </xf>
    <xf numFmtId="0" fontId="27" fillId="0" borderId="15" applyNumberFormat="0" applyFill="0" applyAlignment="0" applyProtection="0">
      <alignment vertical="center"/>
    </xf>
    <xf numFmtId="0" fontId="20" fillId="6" borderId="0" applyNumberFormat="0" applyBorder="0" applyAlignment="0" applyProtection="0">
      <alignment vertical="center"/>
    </xf>
    <xf numFmtId="0" fontId="32" fillId="23" borderId="14" applyNumberFormat="0" applyAlignment="0" applyProtection="0">
      <alignment vertical="center"/>
    </xf>
    <xf numFmtId="0" fontId="36" fillId="23" borderId="13" applyNumberFormat="0" applyAlignment="0" applyProtection="0">
      <alignment vertical="center"/>
    </xf>
    <xf numFmtId="0" fontId="29" fillId="16" borderId="11" applyNumberFormat="0" applyAlignment="0" applyProtection="0">
      <alignment vertical="center"/>
    </xf>
    <xf numFmtId="0" fontId="18" fillId="7" borderId="0" applyNumberFormat="0" applyBorder="0" applyAlignment="0" applyProtection="0">
      <alignment vertical="center"/>
    </xf>
    <xf numFmtId="0" fontId="20" fillId="34" borderId="0" applyNumberFormat="0" applyBorder="0" applyAlignment="0" applyProtection="0">
      <alignment vertical="center"/>
    </xf>
    <xf numFmtId="0" fontId="38" fillId="0" borderId="16" applyNumberFormat="0" applyFill="0" applyAlignment="0" applyProtection="0">
      <alignment vertical="center"/>
    </xf>
    <xf numFmtId="0" fontId="25" fillId="0" borderId="10" applyNumberFormat="0" applyFill="0" applyAlignment="0" applyProtection="0">
      <alignment vertical="center"/>
    </xf>
    <xf numFmtId="0" fontId="37" fillId="29" borderId="0" applyNumberFormat="0" applyBorder="0" applyAlignment="0" applyProtection="0">
      <alignment vertical="center"/>
    </xf>
    <xf numFmtId="0" fontId="19" fillId="5" borderId="0" applyNumberFormat="0" applyBorder="0" applyAlignment="0" applyProtection="0">
      <alignment vertical="center"/>
    </xf>
    <xf numFmtId="0" fontId="18" fillId="24" borderId="0" applyNumberFormat="0" applyBorder="0" applyAlignment="0" applyProtection="0">
      <alignment vertical="center"/>
    </xf>
    <xf numFmtId="0" fontId="20" fillId="11" borderId="0" applyNumberFormat="0" applyBorder="0" applyAlignment="0" applyProtection="0">
      <alignment vertical="center"/>
    </xf>
    <xf numFmtId="0" fontId="18" fillId="33"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20" fillId="15" borderId="0" applyNumberFormat="0" applyBorder="0" applyAlignment="0" applyProtection="0">
      <alignment vertical="center"/>
    </xf>
    <xf numFmtId="0" fontId="20" fillId="32"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0" fillId="28" borderId="0" applyNumberFormat="0" applyBorder="0" applyAlignment="0" applyProtection="0">
      <alignment vertical="center"/>
    </xf>
    <xf numFmtId="0" fontId="18" fillId="10" borderId="0" applyNumberFormat="0" applyBorder="0" applyAlignment="0" applyProtection="0">
      <alignment vertical="center"/>
    </xf>
    <xf numFmtId="0" fontId="20" fillId="27" borderId="0" applyNumberFormat="0" applyBorder="0" applyAlignment="0" applyProtection="0">
      <alignment vertical="center"/>
    </xf>
    <xf numFmtId="0" fontId="20" fillId="13" borderId="0" applyNumberFormat="0" applyBorder="0" applyAlignment="0" applyProtection="0">
      <alignment vertical="center"/>
    </xf>
    <xf numFmtId="0" fontId="18" fillId="4"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35" fillId="0" borderId="0">
      <alignment vertical="center"/>
    </xf>
    <xf numFmtId="0" fontId="24" fillId="0" borderId="0"/>
    <xf numFmtId="0" fontId="0" fillId="0" borderId="0">
      <alignment vertical="center"/>
    </xf>
  </cellStyleXfs>
  <cellXfs count="158">
    <xf numFmtId="0" fontId="0" fillId="0" borderId="0" xfId="0">
      <alignment vertical="center"/>
    </xf>
    <xf numFmtId="0" fontId="1" fillId="0" borderId="0" xfId="0" applyFont="1" applyFill="1">
      <alignment vertical="center"/>
    </xf>
    <xf numFmtId="0" fontId="2" fillId="0" borderId="0" xfId="49" applyFont="1" applyFill="1" applyBorder="1" applyAlignment="1">
      <alignment vertical="center"/>
    </xf>
    <xf numFmtId="0" fontId="3" fillId="0" borderId="0" xfId="49" applyFont="1" applyFill="1" applyBorder="1" applyAlignment="1">
      <alignment vertical="center"/>
    </xf>
    <xf numFmtId="0" fontId="4" fillId="0" borderId="0" xfId="49" applyFont="1" applyFill="1" applyBorder="1" applyAlignment="1">
      <alignment vertical="center"/>
    </xf>
    <xf numFmtId="0" fontId="4" fillId="0" borderId="0" xfId="49" applyFont="1" applyFill="1" applyAlignment="1">
      <alignment vertical="center"/>
    </xf>
    <xf numFmtId="0" fontId="4" fillId="2" borderId="0" xfId="49" applyFont="1" applyFill="1" applyAlignment="1">
      <alignment vertical="center"/>
    </xf>
    <xf numFmtId="0" fontId="5" fillId="0" borderId="0" xfId="49" applyFont="1" applyFill="1" applyBorder="1" applyAlignment="1">
      <alignment vertical="center"/>
    </xf>
    <xf numFmtId="0" fontId="4" fillId="2" borderId="0" xfId="49" applyFont="1" applyFill="1" applyBorder="1" applyAlignment="1">
      <alignment vertical="center"/>
    </xf>
    <xf numFmtId="0" fontId="4" fillId="0" borderId="0" xfId="49" applyFont="1" applyFill="1" applyBorder="1" applyAlignment="1">
      <alignment horizontal="center" vertical="center"/>
    </xf>
    <xf numFmtId="0" fontId="4" fillId="0" borderId="0" xfId="49" applyFont="1" applyFill="1" applyBorder="1" applyAlignment="1">
      <alignment horizontal="left" vertical="center"/>
    </xf>
    <xf numFmtId="0" fontId="4" fillId="0" borderId="0" xfId="49"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2" xfId="49" applyFont="1" applyFill="1" applyBorder="1" applyAlignment="1" applyProtection="1">
      <alignment horizontal="center" vertical="center" wrapText="1"/>
    </xf>
    <xf numFmtId="0" fontId="9" fillId="0" borderId="2" xfId="49" applyFont="1" applyFill="1" applyBorder="1" applyAlignment="1" applyProtection="1">
      <alignment horizontal="left" vertical="center" wrapText="1"/>
    </xf>
    <xf numFmtId="0" fontId="9" fillId="0" borderId="2" xfId="49" applyNumberFormat="1"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181" fontId="9" fillId="0" borderId="2" xfId="49" applyNumberFormat="1" applyFont="1" applyFill="1" applyBorder="1" applyAlignment="1" applyProtection="1">
      <alignment horizontal="center" vertical="center"/>
    </xf>
    <xf numFmtId="181" fontId="9" fillId="0" borderId="2" xfId="49" applyNumberFormat="1"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9" fillId="0" borderId="2"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2"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xf>
    <xf numFmtId="181" fontId="10" fillId="0" borderId="2" xfId="49" applyNumberFormat="1" applyFont="1" applyFill="1" applyBorder="1" applyAlignment="1" applyProtection="1">
      <alignment horizontal="center" vertical="center"/>
    </xf>
    <xf numFmtId="0" fontId="10" fillId="0" borderId="2" xfId="49"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11" fillId="0" borderId="2" xfId="0" applyFont="1" applyBorder="1" applyAlignment="1">
      <alignment horizontal="justify" vertical="center"/>
    </xf>
    <xf numFmtId="181" fontId="10" fillId="0" borderId="2" xfId="49" applyNumberFormat="1" applyFont="1" applyFill="1" applyBorder="1" applyAlignment="1">
      <alignment horizontal="center" vertical="center" wrapText="1"/>
    </xf>
    <xf numFmtId="181" fontId="10" fillId="0" borderId="2" xfId="49" applyNumberFormat="1" applyFont="1" applyFill="1" applyBorder="1" applyAlignment="1">
      <alignment horizontal="center" vertical="center"/>
    </xf>
    <xf numFmtId="0" fontId="10" fillId="0" borderId="2" xfId="0" applyFont="1" applyFill="1" applyBorder="1" applyAlignment="1" applyProtection="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9" fontId="12" fillId="0" borderId="2" xfId="0" applyNumberFormat="1" applyFont="1" applyFill="1" applyBorder="1" applyAlignment="1" applyProtection="1">
      <alignment horizontal="justify" vertical="center" wrapText="1"/>
    </xf>
    <xf numFmtId="181" fontId="10" fillId="0" borderId="2" xfId="49" applyNumberFormat="1" applyFont="1" applyFill="1" applyBorder="1" applyAlignment="1" applyProtection="1">
      <alignment horizontal="center" vertical="center" wrapText="1"/>
    </xf>
    <xf numFmtId="0" fontId="10" fillId="0" borderId="2" xfId="49" applyFont="1" applyFill="1" applyBorder="1" applyAlignment="1" applyProtection="1">
      <alignment horizontal="justify" vertical="center" wrapText="1"/>
    </xf>
    <xf numFmtId="179"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center" vertical="center" wrapText="1"/>
    </xf>
    <xf numFmtId="0" fontId="10" fillId="0" borderId="2" xfId="49" applyFont="1" applyFill="1" applyBorder="1" applyAlignment="1">
      <alignment horizontal="center" vertical="center"/>
    </xf>
    <xf numFmtId="0" fontId="10" fillId="2" borderId="2" xfId="49" applyFont="1" applyFill="1" applyBorder="1" applyAlignment="1">
      <alignment horizontal="center" vertical="center"/>
    </xf>
    <xf numFmtId="0" fontId="10" fillId="2" borderId="2" xfId="49" applyFont="1" applyFill="1" applyBorder="1" applyAlignment="1">
      <alignment horizontal="left" vertical="center" wrapText="1"/>
    </xf>
    <xf numFmtId="0" fontId="10" fillId="2" borderId="2" xfId="49" applyFont="1" applyFill="1" applyBorder="1" applyAlignment="1">
      <alignment horizontal="center" vertical="center" wrapText="1"/>
    </xf>
    <xf numFmtId="181" fontId="10" fillId="2" borderId="2" xfId="49" applyNumberFormat="1" applyFont="1" applyFill="1" applyBorder="1" applyAlignment="1">
      <alignment horizontal="center" vertical="center"/>
    </xf>
    <xf numFmtId="181" fontId="10" fillId="2" borderId="2" xfId="49" applyNumberFormat="1" applyFont="1" applyFill="1" applyBorder="1" applyAlignment="1">
      <alignment horizontal="center" vertical="center" wrapText="1"/>
    </xf>
    <xf numFmtId="0" fontId="10" fillId="0" borderId="2" xfId="49" applyFont="1" applyFill="1" applyBorder="1" applyAlignment="1">
      <alignment horizontal="left" vertical="center" wrapText="1"/>
    </xf>
    <xf numFmtId="0" fontId="10" fillId="0" borderId="2" xfId="49" applyFont="1" applyFill="1" applyBorder="1" applyAlignment="1">
      <alignment horizontal="center" vertical="center" wrapText="1"/>
    </xf>
    <xf numFmtId="0" fontId="10" fillId="0" borderId="2" xfId="49" applyNumberFormat="1" applyFont="1" applyFill="1" applyBorder="1" applyAlignment="1">
      <alignment horizontal="left" vertical="center" wrapText="1"/>
    </xf>
    <xf numFmtId="0" fontId="10" fillId="0" borderId="2" xfId="49" applyNumberFormat="1" applyFont="1" applyFill="1" applyBorder="1" applyAlignment="1" applyProtection="1">
      <alignment horizontal="left" vertical="center" wrapText="1"/>
    </xf>
    <xf numFmtId="0" fontId="10" fillId="0" borderId="2" xfId="49" applyFont="1" applyFill="1" applyBorder="1" applyAlignment="1">
      <alignment horizontal="left" vertical="center"/>
    </xf>
    <xf numFmtId="0" fontId="9" fillId="0" borderId="2" xfId="49" applyFont="1" applyFill="1" applyBorder="1" applyAlignment="1" applyProtection="1">
      <alignment horizontal="center" vertical="center" wrapText="1"/>
      <protection locked="0"/>
    </xf>
    <xf numFmtId="0" fontId="9" fillId="0" borderId="2" xfId="49" applyNumberFormat="1" applyFont="1" applyFill="1" applyBorder="1" applyAlignment="1" applyProtection="1">
      <alignment horizontal="center" vertical="center" wrapText="1"/>
      <protection locked="0"/>
    </xf>
    <xf numFmtId="0" fontId="9" fillId="0" borderId="2" xfId="49" applyNumberFormat="1" applyFont="1" applyFill="1" applyBorder="1" applyAlignment="1" applyProtection="1">
      <alignment horizontal="center" vertical="center"/>
      <protection locked="0"/>
    </xf>
    <xf numFmtId="0" fontId="10" fillId="0" borderId="2" xfId="49" applyNumberFormat="1" applyFont="1" applyFill="1" applyBorder="1" applyAlignment="1" applyProtection="1">
      <alignment horizontal="center" vertical="center"/>
      <protection locked="0"/>
    </xf>
    <xf numFmtId="181" fontId="10" fillId="0" borderId="2" xfId="49"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wrapText="1"/>
      <protection locked="0"/>
    </xf>
    <xf numFmtId="181" fontId="10" fillId="3" borderId="2" xfId="49" applyNumberFormat="1" applyFont="1" applyFill="1" applyBorder="1" applyAlignment="1" applyProtection="1">
      <alignment horizontal="center" vertical="center"/>
      <protection locked="0"/>
    </xf>
    <xf numFmtId="0" fontId="10" fillId="3" borderId="2" xfId="0" applyNumberFormat="1" applyFont="1" applyFill="1" applyBorder="1" applyAlignment="1" applyProtection="1">
      <alignment horizontal="center" vertical="center" wrapText="1"/>
      <protection locked="0"/>
    </xf>
    <xf numFmtId="181" fontId="10" fillId="0" borderId="2" xfId="0" applyNumberFormat="1"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center" vertical="center" wrapText="1"/>
      <protection locked="0"/>
    </xf>
    <xf numFmtId="181" fontId="12" fillId="0" borderId="2" xfId="0" applyNumberFormat="1" applyFont="1" applyFill="1" applyBorder="1" applyAlignment="1" applyProtection="1">
      <alignment horizontal="center" vertical="center" wrapText="1"/>
      <protection locked="0"/>
    </xf>
    <xf numFmtId="0" fontId="10" fillId="3" borderId="2" xfId="49" applyFont="1" applyFill="1" applyBorder="1" applyAlignment="1" applyProtection="1">
      <alignment horizontal="center" vertical="center" wrapText="1"/>
      <protection locked="0"/>
    </xf>
    <xf numFmtId="0" fontId="10" fillId="3" borderId="2" xfId="49" applyFont="1" applyFill="1" applyBorder="1" applyAlignment="1" applyProtection="1">
      <alignment horizontal="center" vertical="center"/>
      <protection locked="0"/>
    </xf>
    <xf numFmtId="181" fontId="10" fillId="0" borderId="2" xfId="49"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181" fontId="10" fillId="0" borderId="2" xfId="0" applyNumberFormat="1" applyFont="1" applyFill="1" applyBorder="1" applyAlignment="1">
      <alignment horizontal="center" vertical="center" wrapText="1"/>
    </xf>
    <xf numFmtId="0" fontId="10" fillId="3" borderId="2" xfId="0" applyFont="1" applyFill="1" applyBorder="1" applyAlignment="1" applyProtection="1">
      <alignment horizontal="center" vertical="center" wrapText="1"/>
      <protection locked="0"/>
    </xf>
    <xf numFmtId="178" fontId="13" fillId="0" borderId="2" xfId="0" applyNumberFormat="1" applyFont="1" applyFill="1" applyBorder="1" applyAlignment="1">
      <alignment horizontal="center" vertical="center" wrapText="1"/>
    </xf>
    <xf numFmtId="181" fontId="14" fillId="0" borderId="2" xfId="49" applyNumberFormat="1" applyFont="1" applyFill="1" applyBorder="1" applyAlignment="1">
      <alignment horizontal="center" vertical="center"/>
    </xf>
    <xf numFmtId="181" fontId="10" fillId="0" borderId="2" xfId="49" applyNumberFormat="1" applyFont="1" applyFill="1" applyBorder="1" applyAlignment="1" applyProtection="1">
      <alignment vertical="center"/>
    </xf>
    <xf numFmtId="0" fontId="9" fillId="0" borderId="6"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2" fillId="0" borderId="2" xfId="49" applyFont="1" applyFill="1" applyBorder="1" applyAlignment="1" applyProtection="1">
      <alignment horizontal="center" vertical="center"/>
      <protection locked="0"/>
    </xf>
    <xf numFmtId="0" fontId="12" fillId="0" borderId="2" xfId="49"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protection locked="0"/>
    </xf>
    <xf numFmtId="177" fontId="12" fillId="0" borderId="2" xfId="0" applyNumberFormat="1" applyFont="1" applyFill="1" applyBorder="1" applyAlignment="1" applyProtection="1">
      <alignment horizontal="center" vertical="center" wrapText="1"/>
      <protection locked="0"/>
    </xf>
    <xf numFmtId="0" fontId="12" fillId="0" borderId="2" xfId="49" applyFont="1" applyFill="1" applyBorder="1" applyAlignment="1" applyProtection="1">
      <alignment horizontal="center" vertical="center" wrapText="1"/>
      <protection locked="0"/>
    </xf>
    <xf numFmtId="0" fontId="12" fillId="0" borderId="2" xfId="49"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2" xfId="49" applyFont="1" applyFill="1" applyBorder="1" applyAlignment="1">
      <alignment vertical="center"/>
    </xf>
    <xf numFmtId="0" fontId="12" fillId="0" borderId="2" xfId="49" applyFont="1" applyFill="1" applyBorder="1" applyAlignment="1">
      <alignment horizontal="left" vertical="center" wrapText="1"/>
    </xf>
    <xf numFmtId="0" fontId="12" fillId="0" borderId="2" xfId="49" applyFont="1" applyFill="1" applyBorder="1" applyAlignment="1">
      <alignment horizontal="center" vertical="center" wrapText="1"/>
    </xf>
    <xf numFmtId="0" fontId="12" fillId="0" borderId="2" xfId="49" applyNumberFormat="1" applyFont="1" applyFill="1" applyBorder="1" applyAlignment="1">
      <alignment horizontal="center" vertical="center" wrapText="1"/>
    </xf>
    <xf numFmtId="0" fontId="12" fillId="0" borderId="2" xfId="49" applyFont="1" applyFill="1" applyBorder="1" applyAlignment="1">
      <alignment horizontal="left" vertical="center"/>
    </xf>
    <xf numFmtId="0" fontId="4" fillId="0" borderId="2" xfId="49" applyFont="1" applyFill="1" applyBorder="1" applyAlignment="1">
      <alignment horizontal="center" vertical="center"/>
    </xf>
    <xf numFmtId="0" fontId="4" fillId="0" borderId="2" xfId="0" applyFont="1" applyFill="1" applyBorder="1" applyAlignment="1">
      <alignment horizontal="center" vertical="center"/>
    </xf>
    <xf numFmtId="0" fontId="12" fillId="0" borderId="5" xfId="49" applyFont="1" applyFill="1" applyBorder="1" applyAlignment="1">
      <alignment horizontal="left" vertical="center" wrapText="1"/>
    </xf>
    <xf numFmtId="0" fontId="4" fillId="0" borderId="0" xfId="0" applyFont="1" applyFill="1">
      <alignment vertical="center"/>
    </xf>
    <xf numFmtId="0" fontId="12" fillId="0" borderId="3" xfId="49" applyFont="1" applyFill="1" applyBorder="1" applyAlignment="1">
      <alignment horizontal="left" vertical="center" wrapText="1"/>
    </xf>
    <xf numFmtId="0" fontId="4" fillId="0" borderId="2" xfId="0" applyFont="1" applyFill="1" applyBorder="1">
      <alignment vertical="center"/>
    </xf>
    <xf numFmtId="0" fontId="10" fillId="0" borderId="2" xfId="49" applyFont="1" applyFill="1" applyBorder="1" applyAlignment="1" applyProtection="1">
      <alignment horizontal="center" vertical="center" wrapText="1"/>
      <protection locked="0"/>
    </xf>
    <xf numFmtId="0" fontId="12" fillId="0" borderId="2" xfId="49" applyFont="1" applyFill="1" applyBorder="1" applyAlignment="1">
      <alignment horizontal="center" vertical="center"/>
    </xf>
    <xf numFmtId="0" fontId="12" fillId="0" borderId="2" xfId="49" applyNumberFormat="1" applyFont="1" applyFill="1" applyBorder="1" applyAlignment="1">
      <alignment horizontal="center" vertical="center"/>
    </xf>
    <xf numFmtId="0" fontId="8" fillId="0" borderId="0" xfId="0" applyFont="1" applyFill="1" applyAlignment="1">
      <alignment horizontal="left" vertical="center" wrapText="1"/>
    </xf>
    <xf numFmtId="0" fontId="9" fillId="0" borderId="3" xfId="49" applyNumberFormat="1" applyFont="1" applyFill="1" applyBorder="1" applyAlignment="1" applyProtection="1">
      <alignment horizontal="center" vertical="center" wrapText="1"/>
      <protection locked="0"/>
    </xf>
    <xf numFmtId="0" fontId="9" fillId="0" borderId="5" xfId="49"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179" fontId="12"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57" fontId="12" fillId="0" borderId="2" xfId="0" applyNumberFormat="1" applyFont="1" applyFill="1" applyBorder="1" applyAlignment="1" applyProtection="1">
      <alignment horizontal="center" vertical="center" wrapText="1"/>
      <protection locked="0"/>
    </xf>
    <xf numFmtId="0" fontId="12" fillId="0" borderId="2" xfId="49" applyFont="1" applyFill="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2" xfId="49" applyFont="1" applyFill="1" applyBorder="1" applyAlignment="1" applyProtection="1">
      <alignment horizontal="left" vertical="center" wrapText="1"/>
    </xf>
    <xf numFmtId="0" fontId="4" fillId="0" borderId="5" xfId="0" applyFont="1" applyFill="1" applyBorder="1" applyAlignment="1">
      <alignment horizontal="center" vertical="center"/>
    </xf>
    <xf numFmtId="0" fontId="12" fillId="0" borderId="2" xfId="49" applyNumberFormat="1" applyFont="1" applyFill="1" applyBorder="1" applyAlignment="1">
      <alignment horizontal="left" vertical="center" wrapText="1"/>
    </xf>
    <xf numFmtId="0" fontId="12" fillId="0" borderId="2" xfId="49" applyNumberFormat="1" applyFont="1" applyFill="1" applyBorder="1" applyAlignment="1" applyProtection="1">
      <alignment horizontal="left" vertical="center" wrapText="1"/>
    </xf>
    <xf numFmtId="181" fontId="10" fillId="0" borderId="2" xfId="0" applyNumberFormat="1" applyFont="1" applyFill="1" applyBorder="1" applyAlignment="1" applyProtection="1">
      <alignment horizontal="center" vertical="center" wrapText="1"/>
    </xf>
    <xf numFmtId="181" fontId="16" fillId="0" borderId="2" xfId="0" applyNumberFormat="1" applyFont="1" applyFill="1" applyBorder="1" applyAlignment="1" applyProtection="1">
      <alignment horizontal="center" vertical="center"/>
    </xf>
    <xf numFmtId="179" fontId="10" fillId="0" borderId="2" xfId="0" applyNumberFormat="1" applyFont="1" applyFill="1" applyBorder="1" applyAlignment="1">
      <alignment horizontal="left" vertical="center" wrapText="1"/>
    </xf>
    <xf numFmtId="0" fontId="14" fillId="0" borderId="2" xfId="49" applyFont="1" applyFill="1" applyBorder="1" applyAlignment="1" applyProtection="1">
      <alignment horizontal="center" vertical="center"/>
    </xf>
    <xf numFmtId="0" fontId="14" fillId="0" borderId="2" xfId="0" applyFont="1" applyFill="1" applyBorder="1" applyAlignment="1" applyProtection="1">
      <alignment horizontal="left" vertical="center" wrapText="1"/>
    </xf>
    <xf numFmtId="179" fontId="14" fillId="0" borderId="2" xfId="0" applyNumberFormat="1"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181" fontId="14" fillId="0" borderId="2" xfId="49" applyNumberFormat="1" applyFont="1" applyFill="1" applyBorder="1" applyAlignment="1" applyProtection="1">
      <alignment horizontal="center" vertical="center"/>
    </xf>
    <xf numFmtId="181" fontId="14" fillId="0" borderId="2" xfId="49" applyNumberFormat="1" applyFont="1" applyFill="1" applyBorder="1" applyAlignment="1" applyProtection="1">
      <alignment horizontal="center" vertical="center" wrapText="1"/>
    </xf>
    <xf numFmtId="181"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lignment horizontal="left" vertical="center" wrapText="1"/>
    </xf>
    <xf numFmtId="0" fontId="14" fillId="0" borderId="2" xfId="0" applyNumberFormat="1" applyFont="1" applyFill="1" applyBorder="1" applyAlignment="1" applyProtection="1">
      <alignment horizontal="left" vertical="center" wrapText="1"/>
    </xf>
    <xf numFmtId="181" fontId="14"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181" fontId="1" fillId="0" borderId="2" xfId="49" applyNumberFormat="1" applyFont="1" applyFill="1" applyBorder="1" applyAlignment="1" applyProtection="1">
      <alignment horizontal="center" vertical="center"/>
      <protection locked="0"/>
    </xf>
    <xf numFmtId="181" fontId="10" fillId="0" borderId="2" xfId="0" applyNumberFormat="1" applyFont="1" applyFill="1" applyBorder="1" applyAlignment="1" applyProtection="1">
      <alignment horizontal="center" vertical="center" wrapText="1"/>
      <protection locked="0"/>
    </xf>
    <xf numFmtId="180" fontId="10" fillId="0" borderId="2" xfId="0" applyNumberFormat="1" applyFont="1" applyFill="1" applyBorder="1" applyAlignment="1" applyProtection="1">
      <alignment horizontal="center" vertical="center" wrapText="1"/>
      <protection locked="0"/>
    </xf>
    <xf numFmtId="0" fontId="17" fillId="0" borderId="2" xfId="49"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177" fontId="12" fillId="0" borderId="2" xfId="0" applyNumberFormat="1" applyFont="1" applyFill="1" applyBorder="1" applyAlignment="1" applyProtection="1">
      <alignment horizontal="center" vertical="center"/>
      <protection locked="0"/>
    </xf>
    <xf numFmtId="180" fontId="12"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49" fontId="12" fillId="0" borderId="2"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9" fontId="12" fillId="0" borderId="2" xfId="0" applyNumberFormat="1" applyFont="1" applyFill="1" applyBorder="1" applyAlignment="1">
      <alignment horizontal="left" vertical="center"/>
    </xf>
    <xf numFmtId="176" fontId="12" fillId="0" borderId="2" xfId="0" applyNumberFormat="1" applyFont="1" applyFill="1" applyBorder="1" applyAlignment="1" applyProtection="1">
      <alignment horizontal="center" vertical="center"/>
      <protection locked="0"/>
    </xf>
    <xf numFmtId="0" fontId="10" fillId="0" borderId="2" xfId="49" applyFont="1" applyFill="1" applyBorder="1" applyAlignment="1" applyProtection="1">
      <alignment vertical="center"/>
    </xf>
    <xf numFmtId="0" fontId="10" fillId="0" borderId="2" xfId="49" applyFont="1" applyFill="1" applyBorder="1" applyAlignment="1" applyProtection="1">
      <alignment vertical="center" wrapText="1"/>
    </xf>
    <xf numFmtId="0" fontId="10" fillId="0" borderId="2" xfId="49" applyFont="1" applyFill="1" applyBorder="1" applyAlignment="1">
      <alignment vertical="center" wrapText="1"/>
    </xf>
    <xf numFmtId="0" fontId="10" fillId="0" borderId="2" xfId="49" applyFont="1" applyFill="1" applyBorder="1" applyAlignment="1" applyProtection="1">
      <alignment horizontal="center" vertical="center"/>
      <protection locked="0"/>
    </xf>
    <xf numFmtId="0" fontId="12" fillId="0" borderId="2" xfId="49"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样式 1" xfId="51"/>
    <cellStyle name="常规 5"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4"/>
  <sheetViews>
    <sheetView tabSelected="1" zoomScale="70" zoomScaleNormal="70" topLeftCell="C1" workbookViewId="0">
      <pane ySplit="7" topLeftCell="A8" activePane="bottomLeft" state="frozen"/>
      <selection/>
      <selection pane="bottomLeft" activeCell="J4" sqref="J4:J5"/>
    </sheetView>
  </sheetViews>
  <sheetFormatPr defaultColWidth="9" defaultRowHeight="13.5"/>
  <cols>
    <col min="1" max="1" width="7" style="9" customWidth="1"/>
    <col min="2" max="2" width="17.0583333333333" style="10" customWidth="1"/>
    <col min="3" max="3" width="40.225" style="4" customWidth="1"/>
    <col min="4" max="5" width="9.40833333333333" style="11" customWidth="1"/>
    <col min="6" max="26" width="10.2833333333333" style="9" customWidth="1"/>
    <col min="27" max="27" width="23.525" style="9" customWidth="1"/>
    <col min="28" max="16384" width="9" style="4"/>
  </cols>
  <sheetData>
    <row r="1" s="1" customFormat="1" ht="43" customHeight="1" spans="1:30">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1" customFormat="1" ht="26.25" customHeight="1" spans="1:27">
      <c r="A2" s="13" t="s">
        <v>1</v>
      </c>
      <c r="B2" s="14"/>
      <c r="C2" s="14"/>
      <c r="D2" s="14"/>
      <c r="E2" s="14"/>
      <c r="F2" s="14"/>
      <c r="G2" s="14"/>
      <c r="H2" s="14"/>
      <c r="I2" s="14"/>
      <c r="J2" s="14"/>
      <c r="K2" s="14"/>
      <c r="L2" s="14"/>
      <c r="M2" s="14"/>
      <c r="N2" s="14"/>
      <c r="O2" s="14"/>
      <c r="P2" s="14"/>
      <c r="Q2" s="14"/>
      <c r="R2" s="14"/>
      <c r="S2" s="14"/>
      <c r="T2" s="14"/>
      <c r="U2" s="14"/>
      <c r="V2" s="14"/>
      <c r="W2" s="14"/>
      <c r="X2" s="14"/>
      <c r="Y2" s="107"/>
      <c r="Z2" s="107"/>
      <c r="AA2" s="107"/>
    </row>
    <row r="3" s="2" customFormat="1" ht="22.5" customHeight="1" spans="1:30">
      <c r="A3" s="15" t="s">
        <v>2</v>
      </c>
      <c r="B3" s="16" t="s">
        <v>3</v>
      </c>
      <c r="C3" s="17" t="s">
        <v>4</v>
      </c>
      <c r="D3" s="15" t="s">
        <v>5</v>
      </c>
      <c r="E3" s="18" t="s">
        <v>6</v>
      </c>
      <c r="F3" s="15" t="s">
        <v>7</v>
      </c>
      <c r="G3" s="15"/>
      <c r="H3" s="15"/>
      <c r="I3" s="15"/>
      <c r="J3" s="15"/>
      <c r="K3" s="15"/>
      <c r="L3" s="54" t="s">
        <v>8</v>
      </c>
      <c r="M3" s="54"/>
      <c r="N3" s="54"/>
      <c r="O3" s="54"/>
      <c r="P3" s="54"/>
      <c r="Q3" s="54"/>
      <c r="R3" s="77" t="s">
        <v>9</v>
      </c>
      <c r="S3" s="78"/>
      <c r="T3" s="78"/>
      <c r="U3" s="79"/>
      <c r="V3" s="54" t="s">
        <v>10</v>
      </c>
      <c r="W3" s="54"/>
      <c r="X3" s="54"/>
      <c r="Y3" s="54" t="s">
        <v>11</v>
      </c>
      <c r="Z3" s="54"/>
      <c r="AA3" s="77" t="s">
        <v>12</v>
      </c>
      <c r="AB3" s="78"/>
      <c r="AC3" s="78"/>
      <c r="AD3" s="79"/>
    </row>
    <row r="4" s="2" customFormat="1" ht="37" customHeight="1" spans="1:30">
      <c r="A4" s="15"/>
      <c r="B4" s="16"/>
      <c r="C4" s="17"/>
      <c r="D4" s="15"/>
      <c r="E4" s="19"/>
      <c r="F4" s="17" t="s">
        <v>13</v>
      </c>
      <c r="G4" s="15" t="s">
        <v>14</v>
      </c>
      <c r="H4" s="15"/>
      <c r="I4" s="15"/>
      <c r="J4" s="15" t="s">
        <v>15</v>
      </c>
      <c r="K4" s="15" t="s">
        <v>16</v>
      </c>
      <c r="L4" s="55" t="s">
        <v>13</v>
      </c>
      <c r="M4" s="54" t="s">
        <v>14</v>
      </c>
      <c r="N4" s="54"/>
      <c r="O4" s="54"/>
      <c r="P4" s="54" t="s">
        <v>15</v>
      </c>
      <c r="Q4" s="54" t="s">
        <v>16</v>
      </c>
      <c r="R4" s="80" t="s">
        <v>17</v>
      </c>
      <c r="S4" s="80" t="s">
        <v>18</v>
      </c>
      <c r="T4" s="80" t="s">
        <v>19</v>
      </c>
      <c r="U4" s="80" t="s">
        <v>20</v>
      </c>
      <c r="V4" s="80" t="s">
        <v>21</v>
      </c>
      <c r="W4" s="80" t="s">
        <v>22</v>
      </c>
      <c r="X4" s="80" t="s">
        <v>23</v>
      </c>
      <c r="Y4" s="80" t="s">
        <v>24</v>
      </c>
      <c r="Z4" s="80" t="s">
        <v>25</v>
      </c>
      <c r="AA4" s="80" t="s">
        <v>26</v>
      </c>
      <c r="AB4" s="108" t="s">
        <v>27</v>
      </c>
      <c r="AC4" s="108" t="s">
        <v>28</v>
      </c>
      <c r="AD4" s="108" t="s">
        <v>29</v>
      </c>
    </row>
    <row r="5" s="2" customFormat="1" ht="35" customHeight="1" spans="1:30">
      <c r="A5" s="15"/>
      <c r="B5" s="16"/>
      <c r="C5" s="17"/>
      <c r="D5" s="15"/>
      <c r="E5" s="20"/>
      <c r="F5" s="17"/>
      <c r="G5" s="15" t="s">
        <v>30</v>
      </c>
      <c r="H5" s="15" t="s">
        <v>31</v>
      </c>
      <c r="I5" s="15" t="s">
        <v>32</v>
      </c>
      <c r="J5" s="15"/>
      <c r="K5" s="15"/>
      <c r="L5" s="55"/>
      <c r="M5" s="54" t="s">
        <v>30</v>
      </c>
      <c r="N5" s="54" t="s">
        <v>31</v>
      </c>
      <c r="O5" s="54" t="s">
        <v>32</v>
      </c>
      <c r="P5" s="54"/>
      <c r="Q5" s="54"/>
      <c r="R5" s="81"/>
      <c r="S5" s="81"/>
      <c r="T5" s="81"/>
      <c r="U5" s="81"/>
      <c r="V5" s="81"/>
      <c r="W5" s="81"/>
      <c r="X5" s="81"/>
      <c r="Y5" s="81"/>
      <c r="Z5" s="81"/>
      <c r="AA5" s="81"/>
      <c r="AB5" s="109"/>
      <c r="AC5" s="109"/>
      <c r="AD5" s="109"/>
    </row>
    <row r="6" s="3" customFormat="1" ht="25" customHeight="1" spans="1:30">
      <c r="A6" s="15" t="s">
        <v>13</v>
      </c>
      <c r="B6" s="16"/>
      <c r="C6" s="15"/>
      <c r="D6" s="15"/>
      <c r="E6" s="15"/>
      <c r="F6" s="21">
        <f t="shared" ref="F6:F16" si="0">SUM(G6:K6)</f>
        <v>25775.51</v>
      </c>
      <c r="G6" s="22">
        <f>G7+G45+G59+G61+G63+G65</f>
        <v>10683</v>
      </c>
      <c r="H6" s="22">
        <f>H7+H45+H59+H61+H63+H65</f>
        <v>1416</v>
      </c>
      <c r="I6" s="22">
        <f>I7+I45+I59+I61+I63+I65</f>
        <v>5959</v>
      </c>
      <c r="J6" s="22">
        <f>J7+J45+J59+J61+J63+J65</f>
        <v>4137.51</v>
      </c>
      <c r="K6" s="22">
        <f>K7+K45+K59+K61+K63+K65</f>
        <v>3580</v>
      </c>
      <c r="L6" s="55">
        <f t="shared" ref="L6:L16" si="1">SUM(M6:Q6)</f>
        <v>22542.737893</v>
      </c>
      <c r="M6" s="55">
        <f>M7+M45+M59+M61+M63+M65</f>
        <v>10250.815036</v>
      </c>
      <c r="N6" s="55">
        <f>N7+N45+N59+N61+N63+N65</f>
        <v>1349.593785</v>
      </c>
      <c r="O6" s="55">
        <f>O7+O45+O59+O61+O63+O65</f>
        <v>5201.380395</v>
      </c>
      <c r="P6" s="55">
        <f>P7+P45+P59+P61+P63+P65</f>
        <v>2467.751315</v>
      </c>
      <c r="Q6" s="55">
        <f>Q7+Q45+Q59+Q61+Q63+Q65</f>
        <v>3273.197362</v>
      </c>
      <c r="R6" s="82">
        <f>L6/F6</f>
        <v>0.874579703485983</v>
      </c>
      <c r="S6" s="83"/>
      <c r="T6" s="82"/>
      <c r="U6" s="82"/>
      <c r="V6" s="82"/>
      <c r="W6" s="82"/>
      <c r="X6" s="82"/>
      <c r="Y6" s="82"/>
      <c r="Z6" s="82"/>
      <c r="AA6" s="82"/>
      <c r="AB6" s="87"/>
      <c r="AC6" s="82"/>
      <c r="AD6" s="82"/>
    </row>
    <row r="7" s="3" customFormat="1" ht="25" customHeight="1" spans="1:30">
      <c r="A7" s="23" t="s">
        <v>33</v>
      </c>
      <c r="B7" s="24" t="s">
        <v>34</v>
      </c>
      <c r="C7" s="15"/>
      <c r="D7" s="15"/>
      <c r="E7" s="15"/>
      <c r="F7" s="21">
        <f t="shared" si="0"/>
        <v>10752.578596</v>
      </c>
      <c r="G7" s="21">
        <f>G8+G18+G19+G20+G21+G22+G23+G24+G25+G26+G27</f>
        <v>4487.118456</v>
      </c>
      <c r="H7" s="21">
        <f>H8+H18+H19+H20+H21+H22+H23+H24+H25+H26+H27</f>
        <v>921.2</v>
      </c>
      <c r="I7" s="21">
        <f>I8+I18+I19+I20+I21+I22+I23+I24+I25+I26+I27</f>
        <v>3066.917</v>
      </c>
      <c r="J7" s="21">
        <f>J8+J18+J19+J20+J21+J22+J23+J24+J25+J26+J27</f>
        <v>0</v>
      </c>
      <c r="K7" s="21">
        <f>K8+K18+K19+K20+K21+K22+K23+K24+K25+K26+K27</f>
        <v>2277.34314</v>
      </c>
      <c r="L7" s="55">
        <f t="shared" si="1"/>
        <v>9878.044457</v>
      </c>
      <c r="M7" s="56">
        <f>M8+M18+M19+M20+M21+M22+M23+M24+M25+M26+M27</f>
        <v>4310.5189</v>
      </c>
      <c r="N7" s="56">
        <f>N8+N18+N19+N20+N21+N22+N23+N24+N25+N26+N27</f>
        <v>884.275535</v>
      </c>
      <c r="O7" s="56">
        <f>O8+O18+O19+O20+O21+O22+O23+O24+O25+O26+O27</f>
        <v>2600.374366</v>
      </c>
      <c r="P7" s="56">
        <f>P8+P18+P19+P20+P21+P22+P23+P24+P25+P26+P27</f>
        <v>0</v>
      </c>
      <c r="Q7" s="56">
        <f>Q8+Q18+Q19+Q20+Q21+Q22+Q23+Q24+Q25+Q26+Q27</f>
        <v>2082.875656</v>
      </c>
      <c r="R7" s="82"/>
      <c r="S7" s="83"/>
      <c r="T7" s="82"/>
      <c r="U7" s="82"/>
      <c r="V7" s="82"/>
      <c r="W7" s="82"/>
      <c r="X7" s="82"/>
      <c r="Y7" s="82"/>
      <c r="Z7" s="82"/>
      <c r="AA7" s="82"/>
      <c r="AB7" s="87"/>
      <c r="AC7" s="82"/>
      <c r="AD7" s="82"/>
    </row>
    <row r="8" s="4" customFormat="1" ht="25" customHeight="1" spans="1:30">
      <c r="A8" s="25" t="s">
        <v>35</v>
      </c>
      <c r="B8" s="26" t="s">
        <v>36</v>
      </c>
      <c r="C8" s="27"/>
      <c r="D8" s="27"/>
      <c r="E8" s="27"/>
      <c r="F8" s="28">
        <f t="shared" si="0"/>
        <v>5433.892612</v>
      </c>
      <c r="G8" s="28">
        <f>SUM(G9:G17)</f>
        <v>2489.488456</v>
      </c>
      <c r="H8" s="28">
        <f>SUM(H9:H17)</f>
        <v>35.2</v>
      </c>
      <c r="I8" s="28">
        <f>SUM(I9:I17)</f>
        <v>1587.367</v>
      </c>
      <c r="J8" s="28">
        <f>SUM(J9:J17)</f>
        <v>0</v>
      </c>
      <c r="K8" s="28">
        <f>SUM(K9:K17)</f>
        <v>1321.837156</v>
      </c>
      <c r="L8" s="55">
        <f t="shared" si="1"/>
        <v>5258.147156</v>
      </c>
      <c r="M8" s="57">
        <f>SUM(M9:M17)</f>
        <v>2422.36</v>
      </c>
      <c r="N8" s="57">
        <f>SUM(N9:N17)</f>
        <v>35.2</v>
      </c>
      <c r="O8" s="57">
        <f>SUM(O9:O17)</f>
        <v>1519.37</v>
      </c>
      <c r="P8" s="57">
        <f>SUM(P9:P17)</f>
        <v>0</v>
      </c>
      <c r="Q8" s="57">
        <f>SUM(Q9:Q17)</f>
        <v>1281.217156</v>
      </c>
      <c r="R8" s="82"/>
      <c r="S8" s="83"/>
      <c r="T8" s="82"/>
      <c r="U8" s="82"/>
      <c r="V8" s="82"/>
      <c r="W8" s="82"/>
      <c r="X8" s="82"/>
      <c r="Y8" s="82"/>
      <c r="Z8" s="82"/>
      <c r="AA8" s="82"/>
      <c r="AB8" s="87"/>
      <c r="AC8" s="82"/>
      <c r="AD8" s="82"/>
    </row>
    <row r="9" s="4" customFormat="1" ht="172" customHeight="1" spans="1:30">
      <c r="A9" s="25">
        <v>1</v>
      </c>
      <c r="B9" s="26" t="s">
        <v>37</v>
      </c>
      <c r="C9" s="29" t="s">
        <v>38</v>
      </c>
      <c r="D9" s="30" t="s">
        <v>39</v>
      </c>
      <c r="E9" s="31" t="s">
        <v>40</v>
      </c>
      <c r="F9" s="28">
        <f t="shared" si="0"/>
        <v>2544.135612</v>
      </c>
      <c r="G9" s="32">
        <f>1340+39.918456</f>
        <v>1379.918456</v>
      </c>
      <c r="H9" s="33"/>
      <c r="I9" s="33">
        <f>38+150</f>
        <v>188</v>
      </c>
      <c r="J9" s="28"/>
      <c r="K9" s="33">
        <f>995-235+216.217156</f>
        <v>976.217156</v>
      </c>
      <c r="L9" s="55">
        <f t="shared" si="1"/>
        <v>2466.217156</v>
      </c>
      <c r="M9" s="58">
        <v>1340</v>
      </c>
      <c r="N9" s="58"/>
      <c r="O9" s="59">
        <v>150</v>
      </c>
      <c r="P9" s="60"/>
      <c r="Q9" s="60">
        <v>976.217156</v>
      </c>
      <c r="R9" s="66" t="s">
        <v>41</v>
      </c>
      <c r="S9" s="84" t="s">
        <v>42</v>
      </c>
      <c r="T9" s="85" t="s">
        <v>43</v>
      </c>
      <c r="U9" s="84" t="s">
        <v>44</v>
      </c>
      <c r="V9" s="84"/>
      <c r="W9" s="66"/>
      <c r="X9" s="66" t="s">
        <v>45</v>
      </c>
      <c r="Y9" s="84">
        <v>2020.3</v>
      </c>
      <c r="Z9" s="84">
        <v>2020.12</v>
      </c>
      <c r="AA9" s="66" t="s">
        <v>46</v>
      </c>
      <c r="AB9" s="110">
        <v>55</v>
      </c>
      <c r="AC9" s="84">
        <v>0.12</v>
      </c>
      <c r="AD9" s="84">
        <v>0.432</v>
      </c>
    </row>
    <row r="10" s="4" customFormat="1" ht="180" customHeight="1" spans="1:30">
      <c r="A10" s="25">
        <v>2</v>
      </c>
      <c r="B10" s="29" t="s">
        <v>47</v>
      </c>
      <c r="C10" s="29" t="s">
        <v>48</v>
      </c>
      <c r="D10" s="27" t="s">
        <v>39</v>
      </c>
      <c r="E10" s="27" t="s">
        <v>49</v>
      </c>
      <c r="F10" s="28">
        <f t="shared" si="0"/>
        <v>1502.57</v>
      </c>
      <c r="G10" s="32">
        <f>954.4+35.17</f>
        <v>989.57</v>
      </c>
      <c r="H10" s="33"/>
      <c r="I10" s="33">
        <v>513</v>
      </c>
      <c r="J10" s="28"/>
      <c r="K10" s="33"/>
      <c r="L10" s="55">
        <f t="shared" si="1"/>
        <v>1479.06</v>
      </c>
      <c r="M10" s="58">
        <v>966.06</v>
      </c>
      <c r="N10" s="58"/>
      <c r="O10" s="61">
        <v>513</v>
      </c>
      <c r="P10" s="58"/>
      <c r="Q10" s="65"/>
      <c r="R10" s="66" t="s">
        <v>50</v>
      </c>
      <c r="S10" s="66" t="s">
        <v>51</v>
      </c>
      <c r="T10" s="85" t="s">
        <v>52</v>
      </c>
      <c r="U10" s="66" t="s">
        <v>53</v>
      </c>
      <c r="V10" s="66"/>
      <c r="W10" s="66"/>
      <c r="X10" s="66" t="s">
        <v>45</v>
      </c>
      <c r="Y10" s="66" t="s">
        <v>54</v>
      </c>
      <c r="Z10" s="66" t="s">
        <v>55</v>
      </c>
      <c r="AA10" s="66" t="s">
        <v>56</v>
      </c>
      <c r="AB10" s="111">
        <v>11</v>
      </c>
      <c r="AC10" s="66">
        <v>0.05</v>
      </c>
      <c r="AD10" s="66">
        <v>0.2</v>
      </c>
    </row>
    <row r="11" s="4" customFormat="1" ht="140" customHeight="1" spans="1:30">
      <c r="A11" s="25">
        <v>3</v>
      </c>
      <c r="B11" s="29" t="s">
        <v>57</v>
      </c>
      <c r="C11" s="29" t="s">
        <v>58</v>
      </c>
      <c r="D11" s="27" t="s">
        <v>39</v>
      </c>
      <c r="E11" s="27" t="s">
        <v>49</v>
      </c>
      <c r="F11" s="28">
        <f t="shared" si="0"/>
        <v>155</v>
      </c>
      <c r="G11" s="32">
        <f>120</f>
        <v>120</v>
      </c>
      <c r="H11" s="33">
        <v>35</v>
      </c>
      <c r="I11" s="33"/>
      <c r="J11" s="28"/>
      <c r="K11" s="33"/>
      <c r="L11" s="55">
        <f t="shared" si="1"/>
        <v>151.3</v>
      </c>
      <c r="M11" s="62">
        <v>116.3</v>
      </c>
      <c r="N11" s="62">
        <v>35</v>
      </c>
      <c r="O11" s="63"/>
      <c r="P11" s="63"/>
      <c r="Q11" s="63"/>
      <c r="R11" s="66" t="s">
        <v>59</v>
      </c>
      <c r="S11" s="66" t="s">
        <v>60</v>
      </c>
      <c r="T11" s="85" t="s">
        <v>61</v>
      </c>
      <c r="U11" s="66" t="s">
        <v>62</v>
      </c>
      <c r="V11" s="66"/>
      <c r="W11" s="66"/>
      <c r="X11" s="66" t="s">
        <v>45</v>
      </c>
      <c r="Y11" s="66" t="s">
        <v>63</v>
      </c>
      <c r="Z11" s="66" t="s">
        <v>64</v>
      </c>
      <c r="AA11" s="112" t="s">
        <v>65</v>
      </c>
      <c r="AB11" s="66">
        <v>3</v>
      </c>
      <c r="AC11" s="66">
        <v>0.0391</v>
      </c>
      <c r="AD11" s="66">
        <v>0.07</v>
      </c>
    </row>
    <row r="12" s="4" customFormat="1" ht="113" customHeight="1" spans="1:30">
      <c r="A12" s="25">
        <v>4</v>
      </c>
      <c r="B12" s="29" t="s">
        <v>66</v>
      </c>
      <c r="C12" s="29" t="s">
        <v>67</v>
      </c>
      <c r="D12" s="27" t="s">
        <v>68</v>
      </c>
      <c r="E12" s="27" t="s">
        <v>49</v>
      </c>
      <c r="F12" s="28">
        <f t="shared" si="0"/>
        <v>297</v>
      </c>
      <c r="G12" s="32">
        <v>0</v>
      </c>
      <c r="H12" s="33"/>
      <c r="I12" s="33">
        <v>37</v>
      </c>
      <c r="J12" s="28"/>
      <c r="K12" s="33">
        <v>260</v>
      </c>
      <c r="L12" s="55">
        <f t="shared" si="1"/>
        <v>297</v>
      </c>
      <c r="M12" s="28"/>
      <c r="N12" s="28"/>
      <c r="O12" s="28">
        <v>37</v>
      </c>
      <c r="P12" s="28"/>
      <c r="Q12" s="73">
        <v>260</v>
      </c>
      <c r="R12" s="85" t="s">
        <v>69</v>
      </c>
      <c r="S12" s="66" t="s">
        <v>70</v>
      </c>
      <c r="T12" s="85" t="s">
        <v>61</v>
      </c>
      <c r="U12" s="85" t="s">
        <v>71</v>
      </c>
      <c r="V12" s="85"/>
      <c r="W12" s="85"/>
      <c r="X12" s="85" t="s">
        <v>45</v>
      </c>
      <c r="Y12" s="85"/>
      <c r="Z12" s="85"/>
      <c r="AA12" s="113" t="s">
        <v>72</v>
      </c>
      <c r="AB12" s="85">
        <v>3</v>
      </c>
      <c r="AC12" s="85">
        <f>271/10000</f>
        <v>0.0271</v>
      </c>
      <c r="AD12" s="85">
        <f>839/10000</f>
        <v>0.0839</v>
      </c>
    </row>
    <row r="13" s="4" customFormat="1" ht="127" customHeight="1" spans="1:30">
      <c r="A13" s="25">
        <v>5</v>
      </c>
      <c r="B13" s="29" t="s">
        <v>73</v>
      </c>
      <c r="C13" s="29" t="s">
        <v>74</v>
      </c>
      <c r="D13" s="30" t="s">
        <v>75</v>
      </c>
      <c r="E13" s="30" t="s">
        <v>76</v>
      </c>
      <c r="F13" s="28">
        <f t="shared" si="0"/>
        <v>45</v>
      </c>
      <c r="G13" s="32"/>
      <c r="H13" s="33"/>
      <c r="I13" s="33"/>
      <c r="J13" s="28"/>
      <c r="K13" s="33">
        <f>3.782844+10+31.217156</f>
        <v>45</v>
      </c>
      <c r="L13" s="55">
        <f t="shared" si="1"/>
        <v>45</v>
      </c>
      <c r="M13" s="28"/>
      <c r="N13" s="28"/>
      <c r="O13" s="28"/>
      <c r="P13" s="28"/>
      <c r="Q13" s="65">
        <v>45</v>
      </c>
      <c r="R13" s="66" t="s">
        <v>77</v>
      </c>
      <c r="S13" s="66" t="s">
        <v>78</v>
      </c>
      <c r="T13" s="85" t="s">
        <v>43</v>
      </c>
      <c r="U13" s="66" t="s">
        <v>79</v>
      </c>
      <c r="V13" s="66"/>
      <c r="W13" s="66"/>
      <c r="X13" s="66" t="s">
        <v>45</v>
      </c>
      <c r="Y13" s="114">
        <v>43893</v>
      </c>
      <c r="Z13" s="66"/>
      <c r="AA13" s="85" t="s">
        <v>80</v>
      </c>
      <c r="AB13" s="85">
        <v>1</v>
      </c>
      <c r="AC13" s="66">
        <v>0.009</v>
      </c>
      <c r="AD13" s="66"/>
    </row>
    <row r="14" s="4" customFormat="1" ht="180" customHeight="1" spans="1:30">
      <c r="A14" s="25">
        <v>6</v>
      </c>
      <c r="B14" s="29" t="s">
        <v>81</v>
      </c>
      <c r="C14" s="29" t="s">
        <v>82</v>
      </c>
      <c r="D14" s="30" t="s">
        <v>83</v>
      </c>
      <c r="E14" s="30" t="s">
        <v>84</v>
      </c>
      <c r="F14" s="28">
        <f t="shared" si="0"/>
        <v>30</v>
      </c>
      <c r="G14" s="32"/>
      <c r="H14" s="33"/>
      <c r="I14" s="33">
        <v>30</v>
      </c>
      <c r="J14" s="28"/>
      <c r="K14" s="32"/>
      <c r="L14" s="55">
        <f t="shared" si="1"/>
        <v>30</v>
      </c>
      <c r="M14" s="28"/>
      <c r="N14" s="28"/>
      <c r="O14" s="28">
        <v>30</v>
      </c>
      <c r="P14" s="28"/>
      <c r="Q14" s="28"/>
      <c r="R14" s="66" t="s">
        <v>85</v>
      </c>
      <c r="S14" s="66" t="s">
        <v>86</v>
      </c>
      <c r="T14" s="85" t="s">
        <v>43</v>
      </c>
      <c r="U14" s="66" t="s">
        <v>87</v>
      </c>
      <c r="V14" s="66"/>
      <c r="W14" s="66"/>
      <c r="X14" s="66" t="s">
        <v>45</v>
      </c>
      <c r="Y14" s="66">
        <v>2020.7</v>
      </c>
      <c r="Z14" s="66">
        <v>2020.9</v>
      </c>
      <c r="AA14" s="66" t="s">
        <v>88</v>
      </c>
      <c r="AB14" s="85">
        <v>1</v>
      </c>
      <c r="AC14" s="66">
        <v>0.03</v>
      </c>
      <c r="AD14" s="66"/>
    </row>
    <row r="15" s="5" customFormat="1" ht="126" customHeight="1" spans="1:30">
      <c r="A15" s="25">
        <v>7</v>
      </c>
      <c r="B15" s="34" t="s">
        <v>89</v>
      </c>
      <c r="C15" s="29" t="s">
        <v>90</v>
      </c>
      <c r="D15" s="30" t="s">
        <v>91</v>
      </c>
      <c r="E15" s="30" t="s">
        <v>84</v>
      </c>
      <c r="F15" s="28">
        <f t="shared" si="0"/>
        <v>60</v>
      </c>
      <c r="G15" s="32"/>
      <c r="H15" s="33"/>
      <c r="I15" s="64">
        <v>60</v>
      </c>
      <c r="J15" s="28"/>
      <c r="K15" s="33"/>
      <c r="L15" s="55">
        <f t="shared" si="1"/>
        <v>30</v>
      </c>
      <c r="M15" s="28"/>
      <c r="N15" s="28"/>
      <c r="O15" s="28">
        <v>30</v>
      </c>
      <c r="P15" s="28"/>
      <c r="Q15" s="28"/>
      <c r="R15" s="66" t="s">
        <v>92</v>
      </c>
      <c r="S15" s="66" t="s">
        <v>93</v>
      </c>
      <c r="T15" s="85" t="s">
        <v>43</v>
      </c>
      <c r="U15" s="66" t="s">
        <v>94</v>
      </c>
      <c r="V15" s="66"/>
      <c r="W15" s="66"/>
      <c r="X15" s="66" t="s">
        <v>45</v>
      </c>
      <c r="Y15" s="66">
        <v>2020.04</v>
      </c>
      <c r="Z15" s="66">
        <v>2020.09</v>
      </c>
      <c r="AA15" s="66" t="s">
        <v>95</v>
      </c>
      <c r="AB15" s="85">
        <v>1</v>
      </c>
      <c r="AC15" s="66">
        <v>0.0167</v>
      </c>
      <c r="AD15" s="66">
        <v>0.0693</v>
      </c>
    </row>
    <row r="16" s="5" customFormat="1" ht="113" customHeight="1" spans="1:30">
      <c r="A16" s="25">
        <v>8</v>
      </c>
      <c r="B16" s="34" t="s">
        <v>96</v>
      </c>
      <c r="C16" s="29" t="s">
        <v>97</v>
      </c>
      <c r="D16" s="30" t="s">
        <v>98</v>
      </c>
      <c r="E16" s="30" t="s">
        <v>49</v>
      </c>
      <c r="F16" s="28">
        <f t="shared" si="0"/>
        <v>485</v>
      </c>
      <c r="G16" s="32"/>
      <c r="H16" s="33"/>
      <c r="I16" s="64">
        <v>485</v>
      </c>
      <c r="J16" s="28"/>
      <c r="K16" s="33"/>
      <c r="L16" s="55">
        <f t="shared" si="1"/>
        <v>485</v>
      </c>
      <c r="M16" s="58"/>
      <c r="N16" s="58"/>
      <c r="O16" s="65">
        <v>485</v>
      </c>
      <c r="P16" s="65"/>
      <c r="Q16" s="65"/>
      <c r="R16" s="66"/>
      <c r="S16" s="66"/>
      <c r="T16" s="85" t="s">
        <v>43</v>
      </c>
      <c r="U16" s="66"/>
      <c r="W16" s="66"/>
      <c r="X16" s="66" t="s">
        <v>45</v>
      </c>
      <c r="Y16" s="66">
        <v>2020.8</v>
      </c>
      <c r="Z16" s="66">
        <v>2020.11</v>
      </c>
      <c r="AA16" s="66" t="s">
        <v>95</v>
      </c>
      <c r="AB16" s="85">
        <v>2</v>
      </c>
      <c r="AC16" s="66">
        <v>0.03</v>
      </c>
      <c r="AD16" s="66">
        <v>0.08</v>
      </c>
    </row>
    <row r="17" s="5" customFormat="1" ht="113" customHeight="1" spans="1:30">
      <c r="A17" s="25">
        <v>9</v>
      </c>
      <c r="B17" s="35" t="s">
        <v>99</v>
      </c>
      <c r="C17" s="35" t="s">
        <v>100</v>
      </c>
      <c r="D17" s="36" t="s">
        <v>98</v>
      </c>
      <c r="E17" s="33"/>
      <c r="F17" s="33">
        <f>SUM(G17:N17)</f>
        <v>315.387</v>
      </c>
      <c r="G17" s="32"/>
      <c r="H17" s="33">
        <v>0.2</v>
      </c>
      <c r="I17" s="64">
        <v>274.367</v>
      </c>
      <c r="J17" s="28"/>
      <c r="K17" s="33">
        <v>40.62</v>
      </c>
      <c r="L17" s="55"/>
      <c r="M17" s="58"/>
      <c r="N17" s="58">
        <v>0.2</v>
      </c>
      <c r="O17" s="65">
        <v>274.37</v>
      </c>
      <c r="P17" s="65"/>
      <c r="Q17" s="65"/>
      <c r="R17" s="66"/>
      <c r="S17" s="66"/>
      <c r="T17" s="85"/>
      <c r="U17" s="66"/>
      <c r="V17" s="66"/>
      <c r="W17" s="66"/>
      <c r="X17" s="66" t="s">
        <v>45</v>
      </c>
      <c r="Y17" s="66">
        <v>2020.9</v>
      </c>
      <c r="Z17" s="66">
        <v>2020.11</v>
      </c>
      <c r="AA17" s="66" t="s">
        <v>95</v>
      </c>
      <c r="AB17" s="85">
        <v>12</v>
      </c>
      <c r="AC17" s="66"/>
      <c r="AD17" s="66"/>
    </row>
    <row r="18" s="4" customFormat="1" ht="193" customHeight="1" spans="1:30">
      <c r="A18" s="25" t="s">
        <v>101</v>
      </c>
      <c r="B18" s="29" t="s">
        <v>102</v>
      </c>
      <c r="C18" s="37" t="s">
        <v>103</v>
      </c>
      <c r="D18" s="27" t="s">
        <v>39</v>
      </c>
      <c r="E18" s="27" t="s">
        <v>84</v>
      </c>
      <c r="F18" s="28">
        <f t="shared" ref="F18:F41" si="2">SUM(G18:K18)</f>
        <v>804</v>
      </c>
      <c r="G18" s="32">
        <v>200</v>
      </c>
      <c r="H18" s="33">
        <f>687-103</f>
        <v>584</v>
      </c>
      <c r="I18" s="33">
        <v>20</v>
      </c>
      <c r="J18" s="28"/>
      <c r="K18" s="33"/>
      <c r="L18" s="55">
        <f t="shared" ref="L18:L45" si="3">SUM(M18:Q18)</f>
        <v>747.075535</v>
      </c>
      <c r="M18" s="58">
        <v>200</v>
      </c>
      <c r="N18" s="58">
        <v>547.075535</v>
      </c>
      <c r="O18" s="66">
        <v>0</v>
      </c>
      <c r="P18" s="67"/>
      <c r="Q18" s="86"/>
      <c r="R18" s="86" t="s">
        <v>104</v>
      </c>
      <c r="S18" s="66" t="s">
        <v>105</v>
      </c>
      <c r="T18" s="85" t="s">
        <v>106</v>
      </c>
      <c r="U18" s="86" t="s">
        <v>107</v>
      </c>
      <c r="V18" s="86"/>
      <c r="W18" s="86"/>
      <c r="X18" s="66" t="s">
        <v>45</v>
      </c>
      <c r="Y18" s="86" t="s">
        <v>108</v>
      </c>
      <c r="Z18" s="86" t="s">
        <v>109</v>
      </c>
      <c r="AA18" s="86" t="s">
        <v>110</v>
      </c>
      <c r="AB18" s="66">
        <v>39</v>
      </c>
      <c r="AC18" s="67">
        <v>0.38</v>
      </c>
      <c r="AD18" s="86">
        <v>2.33</v>
      </c>
    </row>
    <row r="19" s="4" customFormat="1" ht="46" customHeight="1" spans="1:30">
      <c r="A19" s="25" t="s">
        <v>111</v>
      </c>
      <c r="B19" s="26" t="s">
        <v>112</v>
      </c>
      <c r="C19" s="29" t="s">
        <v>113</v>
      </c>
      <c r="D19" s="27"/>
      <c r="E19" s="27"/>
      <c r="F19" s="28">
        <f t="shared" si="2"/>
        <v>400</v>
      </c>
      <c r="G19" s="28">
        <v>400</v>
      </c>
      <c r="H19" s="28">
        <v>0</v>
      </c>
      <c r="I19" s="28">
        <v>0</v>
      </c>
      <c r="J19" s="28">
        <v>0</v>
      </c>
      <c r="K19" s="28">
        <v>0</v>
      </c>
      <c r="L19" s="55">
        <f t="shared" si="3"/>
        <v>400</v>
      </c>
      <c r="M19" s="28">
        <v>400</v>
      </c>
      <c r="N19" s="28"/>
      <c r="O19" s="28"/>
      <c r="P19" s="28"/>
      <c r="Q19" s="28"/>
      <c r="R19" s="66" t="s">
        <v>114</v>
      </c>
      <c r="S19" s="66" t="s">
        <v>115</v>
      </c>
      <c r="T19" s="85" t="s">
        <v>43</v>
      </c>
      <c r="U19" s="85" t="s">
        <v>116</v>
      </c>
      <c r="V19" s="66"/>
      <c r="W19" s="66"/>
      <c r="X19" s="66" t="s">
        <v>45</v>
      </c>
      <c r="Y19" s="66" t="s">
        <v>117</v>
      </c>
      <c r="Z19" s="66">
        <v>2020.5</v>
      </c>
      <c r="AA19" s="66" t="s">
        <v>118</v>
      </c>
      <c r="AB19" s="66">
        <v>75</v>
      </c>
      <c r="AC19" s="66">
        <v>8.344</v>
      </c>
      <c r="AD19" s="66">
        <v>2.5116</v>
      </c>
    </row>
    <row r="20" s="4" customFormat="1" ht="46" customHeight="1" spans="1:30">
      <c r="A20" s="25" t="s">
        <v>119</v>
      </c>
      <c r="B20" s="26" t="s">
        <v>120</v>
      </c>
      <c r="C20" s="29" t="s">
        <v>121</v>
      </c>
      <c r="D20" s="27" t="s">
        <v>39</v>
      </c>
      <c r="E20" s="27" t="s">
        <v>49</v>
      </c>
      <c r="F20" s="28">
        <f t="shared" si="2"/>
        <v>486.2</v>
      </c>
      <c r="G20" s="28">
        <v>486.2</v>
      </c>
      <c r="H20" s="28">
        <v>0</v>
      </c>
      <c r="I20" s="28">
        <v>0</v>
      </c>
      <c r="J20" s="28">
        <v>0</v>
      </c>
      <c r="K20" s="28">
        <v>0</v>
      </c>
      <c r="L20" s="55">
        <f t="shared" si="3"/>
        <v>486.2</v>
      </c>
      <c r="M20" s="62">
        <v>486.2</v>
      </c>
      <c r="N20" s="62"/>
      <c r="O20" s="68"/>
      <c r="P20" s="69"/>
      <c r="Q20" s="69"/>
      <c r="R20" s="87" t="s">
        <v>122</v>
      </c>
      <c r="S20" s="83" t="s">
        <v>123</v>
      </c>
      <c r="T20" s="85" t="s">
        <v>61</v>
      </c>
      <c r="U20" s="87" t="s">
        <v>124</v>
      </c>
      <c r="V20" s="82"/>
      <c r="W20" s="82"/>
      <c r="X20" s="66" t="s">
        <v>45</v>
      </c>
      <c r="Y20" s="82" t="s">
        <v>125</v>
      </c>
      <c r="Z20" s="82" t="s">
        <v>126</v>
      </c>
      <c r="AA20" s="115" t="s">
        <v>127</v>
      </c>
      <c r="AB20" s="87">
        <v>31</v>
      </c>
      <c r="AC20" s="82">
        <v>0.0374</v>
      </c>
      <c r="AD20" s="82">
        <v>0.1346</v>
      </c>
    </row>
    <row r="21" s="4" customFormat="1" ht="52" customHeight="1" spans="1:30">
      <c r="A21" s="25" t="s">
        <v>128</v>
      </c>
      <c r="B21" s="26" t="s">
        <v>129</v>
      </c>
      <c r="C21" s="34" t="s">
        <v>130</v>
      </c>
      <c r="D21" s="27" t="s">
        <v>131</v>
      </c>
      <c r="E21" s="27" t="s">
        <v>49</v>
      </c>
      <c r="F21" s="28">
        <f t="shared" si="2"/>
        <v>816</v>
      </c>
      <c r="G21" s="38">
        <f>664+152</f>
        <v>816</v>
      </c>
      <c r="H21" s="28">
        <v>0</v>
      </c>
      <c r="I21" s="28">
        <v>0</v>
      </c>
      <c r="J21" s="28">
        <v>0</v>
      </c>
      <c r="K21" s="28">
        <v>0</v>
      </c>
      <c r="L21" s="55">
        <f t="shared" si="3"/>
        <v>706.5289</v>
      </c>
      <c r="M21" s="28">
        <v>706.5289</v>
      </c>
      <c r="N21" s="28"/>
      <c r="O21" s="28"/>
      <c r="P21" s="28"/>
      <c r="Q21" s="28"/>
      <c r="R21" s="87" t="s">
        <v>132</v>
      </c>
      <c r="S21" s="88" t="s">
        <v>133</v>
      </c>
      <c r="T21" s="87" t="s">
        <v>134</v>
      </c>
      <c r="U21" s="87" t="s">
        <v>124</v>
      </c>
      <c r="V21" s="87"/>
      <c r="W21" s="87"/>
      <c r="X21" s="66" t="s">
        <v>45</v>
      </c>
      <c r="Y21" s="87" t="s">
        <v>135</v>
      </c>
      <c r="Z21" s="87" t="s">
        <v>55</v>
      </c>
      <c r="AA21" s="87" t="s">
        <v>136</v>
      </c>
      <c r="AB21" s="87">
        <v>80</v>
      </c>
      <c r="AC21" s="87">
        <v>0.3899</v>
      </c>
      <c r="AD21" s="82"/>
    </row>
    <row r="22" s="5" customFormat="1" ht="62" customHeight="1" spans="1:30">
      <c r="A22" s="25" t="s">
        <v>137</v>
      </c>
      <c r="B22" s="26" t="s">
        <v>138</v>
      </c>
      <c r="C22" s="29" t="s">
        <v>139</v>
      </c>
      <c r="D22" s="38" t="s">
        <v>140</v>
      </c>
      <c r="E22" s="38" t="s">
        <v>49</v>
      </c>
      <c r="F22" s="28">
        <f t="shared" si="2"/>
        <v>95.43</v>
      </c>
      <c r="G22" s="28">
        <v>95.43</v>
      </c>
      <c r="H22" s="28">
        <v>0</v>
      </c>
      <c r="I22" s="28">
        <v>0</v>
      </c>
      <c r="J22" s="28"/>
      <c r="K22" s="28"/>
      <c r="L22" s="55">
        <f t="shared" si="3"/>
        <v>95.43</v>
      </c>
      <c r="M22" s="28">
        <v>95.43</v>
      </c>
      <c r="N22" s="28"/>
      <c r="O22" s="28"/>
      <c r="P22" s="28"/>
      <c r="Q22" s="28"/>
      <c r="R22" s="66" t="s">
        <v>141</v>
      </c>
      <c r="S22" s="66" t="s">
        <v>142</v>
      </c>
      <c r="T22" s="85" t="s">
        <v>143</v>
      </c>
      <c r="U22" s="66" t="s">
        <v>143</v>
      </c>
      <c r="V22" s="66"/>
      <c r="W22" s="66"/>
      <c r="X22" s="66" t="s">
        <v>45</v>
      </c>
      <c r="Y22" s="66" t="s">
        <v>125</v>
      </c>
      <c r="Z22" s="66" t="s">
        <v>109</v>
      </c>
      <c r="AA22" s="66" t="s">
        <v>144</v>
      </c>
      <c r="AB22" s="85"/>
      <c r="AC22" s="66">
        <v>0.0732</v>
      </c>
      <c r="AD22" s="66"/>
    </row>
    <row r="23" s="5" customFormat="1" ht="316" customHeight="1" spans="1:30">
      <c r="A23" s="25" t="s">
        <v>145</v>
      </c>
      <c r="B23" s="29" t="s">
        <v>146</v>
      </c>
      <c r="C23" s="39" t="s">
        <v>147</v>
      </c>
      <c r="D23" s="27" t="s">
        <v>148</v>
      </c>
      <c r="E23" s="27" t="s">
        <v>49</v>
      </c>
      <c r="F23" s="28">
        <f t="shared" si="2"/>
        <v>479.948984</v>
      </c>
      <c r="G23" s="38">
        <v>0</v>
      </c>
      <c r="H23" s="33">
        <f>313-11</f>
        <v>302</v>
      </c>
      <c r="I23" s="28"/>
      <c r="J23" s="28"/>
      <c r="K23" s="33">
        <v>177.948984</v>
      </c>
      <c r="L23" s="55">
        <f t="shared" si="3"/>
        <v>478</v>
      </c>
      <c r="M23" s="28"/>
      <c r="N23" s="70">
        <v>302</v>
      </c>
      <c r="O23" s="71"/>
      <c r="P23" s="65"/>
      <c r="Q23" s="65">
        <v>176</v>
      </c>
      <c r="R23" s="66" t="s">
        <v>149</v>
      </c>
      <c r="S23" s="66" t="s">
        <v>150</v>
      </c>
      <c r="T23" s="85" t="s">
        <v>43</v>
      </c>
      <c r="U23" s="85" t="s">
        <v>43</v>
      </c>
      <c r="V23" s="66"/>
      <c r="W23" s="66"/>
      <c r="X23" s="66" t="s">
        <v>45</v>
      </c>
      <c r="Y23" s="66" t="s">
        <v>150</v>
      </c>
      <c r="Z23" s="66" t="s">
        <v>109</v>
      </c>
      <c r="AA23" s="66" t="s">
        <v>151</v>
      </c>
      <c r="AB23" s="85">
        <v>80</v>
      </c>
      <c r="AC23" s="66">
        <v>0.0983</v>
      </c>
      <c r="AD23" s="84"/>
    </row>
    <row r="24" s="5" customFormat="1" ht="98" customHeight="1" spans="1:30">
      <c r="A24" s="25" t="s">
        <v>152</v>
      </c>
      <c r="B24" s="29" t="s">
        <v>153</v>
      </c>
      <c r="C24" s="29" t="s">
        <v>154</v>
      </c>
      <c r="D24" s="27" t="s">
        <v>148</v>
      </c>
      <c r="E24" s="27" t="s">
        <v>76</v>
      </c>
      <c r="F24" s="28">
        <f t="shared" si="2"/>
        <v>362.957</v>
      </c>
      <c r="G24" s="38">
        <v>0</v>
      </c>
      <c r="H24" s="28"/>
      <c r="I24" s="28"/>
      <c r="J24" s="28"/>
      <c r="K24" s="33">
        <f>388.3-25.343</f>
        <v>362.957</v>
      </c>
      <c r="L24" s="55">
        <f t="shared" si="3"/>
        <v>362.957</v>
      </c>
      <c r="M24" s="28"/>
      <c r="N24" s="28"/>
      <c r="O24" s="28"/>
      <c r="P24" s="28"/>
      <c r="Q24" s="60">
        <v>362.957</v>
      </c>
      <c r="R24" s="66" t="s">
        <v>149</v>
      </c>
      <c r="S24" s="84" t="s">
        <v>150</v>
      </c>
      <c r="T24" s="85" t="s">
        <v>43</v>
      </c>
      <c r="U24" s="85" t="s">
        <v>43</v>
      </c>
      <c r="V24" s="84"/>
      <c r="W24" s="84"/>
      <c r="X24" s="66" t="s">
        <v>45</v>
      </c>
      <c r="Y24" s="84" t="s">
        <v>150</v>
      </c>
      <c r="Z24" s="84" t="s">
        <v>109</v>
      </c>
      <c r="AA24" s="66" t="s">
        <v>155</v>
      </c>
      <c r="AB24" s="110">
        <v>80</v>
      </c>
      <c r="AC24" s="84">
        <v>0.3883</v>
      </c>
      <c r="AD24" s="84"/>
    </row>
    <row r="25" s="5" customFormat="1" ht="80" customHeight="1" spans="1:30">
      <c r="A25" s="25" t="s">
        <v>156</v>
      </c>
      <c r="B25" s="29" t="s">
        <v>157</v>
      </c>
      <c r="C25" s="29" t="s">
        <v>158</v>
      </c>
      <c r="D25" s="27" t="s">
        <v>148</v>
      </c>
      <c r="E25" s="27" t="s">
        <v>76</v>
      </c>
      <c r="F25" s="28">
        <f t="shared" si="2"/>
        <v>10</v>
      </c>
      <c r="G25" s="38">
        <v>0</v>
      </c>
      <c r="H25" s="28"/>
      <c r="I25" s="28"/>
      <c r="J25" s="28"/>
      <c r="K25" s="33">
        <v>10</v>
      </c>
      <c r="L25" s="55">
        <f t="shared" si="3"/>
        <v>9.7795</v>
      </c>
      <c r="M25" s="28"/>
      <c r="N25" s="28"/>
      <c r="O25" s="28"/>
      <c r="P25" s="28"/>
      <c r="Q25" s="89">
        <v>9.7795</v>
      </c>
      <c r="R25" s="66" t="s">
        <v>141</v>
      </c>
      <c r="S25" s="66" t="s">
        <v>142</v>
      </c>
      <c r="T25" s="66" t="s">
        <v>43</v>
      </c>
      <c r="U25" s="66" t="s">
        <v>159</v>
      </c>
      <c r="V25" s="66"/>
      <c r="W25" s="66"/>
      <c r="X25" s="66" t="s">
        <v>45</v>
      </c>
      <c r="Y25" s="66" t="s">
        <v>160</v>
      </c>
      <c r="Z25" s="66"/>
      <c r="AA25" s="66" t="s">
        <v>161</v>
      </c>
      <c r="AB25" s="85">
        <v>45</v>
      </c>
      <c r="AC25" s="66">
        <v>0.8</v>
      </c>
      <c r="AD25" s="66">
        <v>0.8</v>
      </c>
    </row>
    <row r="26" s="5" customFormat="1" ht="80" customHeight="1" spans="1:30">
      <c r="A26" s="25" t="s">
        <v>162</v>
      </c>
      <c r="B26" s="29" t="s">
        <v>163</v>
      </c>
      <c r="C26" s="29" t="s">
        <v>164</v>
      </c>
      <c r="D26" s="27" t="s">
        <v>148</v>
      </c>
      <c r="E26" s="27" t="s">
        <v>76</v>
      </c>
      <c r="F26" s="28">
        <f t="shared" si="2"/>
        <v>250</v>
      </c>
      <c r="G26" s="38">
        <v>0</v>
      </c>
      <c r="H26" s="28"/>
      <c r="I26" s="28"/>
      <c r="J26" s="28"/>
      <c r="K26" s="33">
        <v>250</v>
      </c>
      <c r="L26" s="55">
        <f t="shared" si="3"/>
        <v>170</v>
      </c>
      <c r="M26" s="28"/>
      <c r="N26" s="28"/>
      <c r="O26" s="28"/>
      <c r="P26" s="28"/>
      <c r="Q26" s="28">
        <v>170</v>
      </c>
      <c r="R26" s="84"/>
      <c r="S26" s="84"/>
      <c r="T26" s="66" t="s">
        <v>165</v>
      </c>
      <c r="U26" s="84"/>
      <c r="V26" s="84"/>
      <c r="W26" s="66" t="s">
        <v>166</v>
      </c>
      <c r="X26" s="84"/>
      <c r="Y26" s="84"/>
      <c r="Z26" s="84"/>
      <c r="AA26" s="84"/>
      <c r="AB26" s="110">
        <v>80</v>
      </c>
      <c r="AC26" s="84"/>
      <c r="AD26" s="84"/>
    </row>
    <row r="27" s="5" customFormat="1" ht="36" customHeight="1" spans="1:30">
      <c r="A27" s="25" t="s">
        <v>167</v>
      </c>
      <c r="B27" s="29" t="s">
        <v>168</v>
      </c>
      <c r="C27" s="29"/>
      <c r="D27" s="27"/>
      <c r="E27" s="27"/>
      <c r="F27" s="28">
        <f t="shared" si="2"/>
        <v>1614.15</v>
      </c>
      <c r="G27" s="28">
        <f>SUM(G28:G44)</f>
        <v>0</v>
      </c>
      <c r="H27" s="28">
        <f>SUM(H28:H44)</f>
        <v>0</v>
      </c>
      <c r="I27" s="28">
        <f>SUM(I28:I44)</f>
        <v>1459.55</v>
      </c>
      <c r="J27" s="28">
        <f>SUM(J28:J44)</f>
        <v>0</v>
      </c>
      <c r="K27" s="28">
        <f>SUM(K28:K44)</f>
        <v>154.6</v>
      </c>
      <c r="L27" s="55">
        <f t="shared" si="3"/>
        <v>1163.926366</v>
      </c>
      <c r="M27" s="28">
        <f>SUM(M28:M44)</f>
        <v>0</v>
      </c>
      <c r="N27" s="28">
        <f>SUM(N28:N44)</f>
        <v>0</v>
      </c>
      <c r="O27" s="28">
        <f>SUM(O28:O44)</f>
        <v>1081.004366</v>
      </c>
      <c r="P27" s="28">
        <f>SUM(P28:P44)</f>
        <v>0</v>
      </c>
      <c r="Q27" s="28">
        <f>SUM(Q28:Q44)</f>
        <v>82.922</v>
      </c>
      <c r="R27" s="84"/>
      <c r="S27" s="84"/>
      <c r="T27" s="66"/>
      <c r="U27" s="84"/>
      <c r="V27" s="84"/>
      <c r="W27" s="84"/>
      <c r="X27" s="84"/>
      <c r="Y27" s="84"/>
      <c r="Z27" s="84"/>
      <c r="AA27" s="84"/>
      <c r="AB27" s="110"/>
      <c r="AC27" s="84"/>
      <c r="AD27" s="84"/>
    </row>
    <row r="28" s="5" customFormat="1" ht="40" customHeight="1" spans="1:30">
      <c r="A28" s="25">
        <v>1</v>
      </c>
      <c r="B28" s="29" t="s">
        <v>169</v>
      </c>
      <c r="C28" s="29" t="s">
        <v>170</v>
      </c>
      <c r="D28" s="27" t="s">
        <v>148</v>
      </c>
      <c r="E28" s="27" t="s">
        <v>76</v>
      </c>
      <c r="F28" s="28">
        <f t="shared" si="2"/>
        <v>120</v>
      </c>
      <c r="G28" s="32">
        <v>0</v>
      </c>
      <c r="H28" s="33"/>
      <c r="I28" s="33"/>
      <c r="J28" s="28"/>
      <c r="K28" s="33">
        <v>120</v>
      </c>
      <c r="L28" s="55">
        <f t="shared" si="3"/>
        <v>48.722</v>
      </c>
      <c r="M28" s="28"/>
      <c r="N28" s="28"/>
      <c r="O28" s="28"/>
      <c r="P28" s="28"/>
      <c r="Q28" s="28">
        <v>48.722</v>
      </c>
      <c r="R28" s="66" t="s">
        <v>171</v>
      </c>
      <c r="S28" s="84" t="s">
        <v>78</v>
      </c>
      <c r="T28" s="66" t="s">
        <v>106</v>
      </c>
      <c r="U28" s="84" t="s">
        <v>172</v>
      </c>
      <c r="V28" s="84"/>
      <c r="W28" s="85" t="s">
        <v>173</v>
      </c>
      <c r="X28" s="84"/>
      <c r="Y28" s="84" t="s">
        <v>78</v>
      </c>
      <c r="Z28" s="84"/>
      <c r="AA28" s="116" t="s">
        <v>174</v>
      </c>
      <c r="AB28" s="110">
        <v>12</v>
      </c>
      <c r="AC28" s="84"/>
      <c r="AD28" s="84"/>
    </row>
    <row r="29" s="5" customFormat="1" ht="40" customHeight="1" spans="1:30">
      <c r="A29" s="25">
        <v>2</v>
      </c>
      <c r="B29" s="29" t="s">
        <v>175</v>
      </c>
      <c r="C29" s="29" t="s">
        <v>176</v>
      </c>
      <c r="D29" s="27" t="s">
        <v>148</v>
      </c>
      <c r="E29" s="27" t="s">
        <v>76</v>
      </c>
      <c r="F29" s="28">
        <f t="shared" si="2"/>
        <v>4.2</v>
      </c>
      <c r="G29" s="32">
        <v>0</v>
      </c>
      <c r="H29" s="33"/>
      <c r="I29" s="33"/>
      <c r="J29" s="28"/>
      <c r="K29" s="33">
        <v>4.2</v>
      </c>
      <c r="L29" s="55">
        <f t="shared" si="3"/>
        <v>4.2</v>
      </c>
      <c r="M29" s="28"/>
      <c r="N29" s="28"/>
      <c r="O29" s="28"/>
      <c r="P29" s="28"/>
      <c r="Q29" s="28">
        <v>4.2</v>
      </c>
      <c r="R29" s="84"/>
      <c r="S29" s="84"/>
      <c r="T29" s="66" t="s">
        <v>177</v>
      </c>
      <c r="U29" s="84"/>
      <c r="V29" s="84"/>
      <c r="W29" s="84"/>
      <c r="X29" s="84"/>
      <c r="Y29" s="84"/>
      <c r="Z29" s="84"/>
      <c r="AA29" s="84"/>
      <c r="AB29" s="110"/>
      <c r="AC29" s="84"/>
      <c r="AD29" s="84"/>
    </row>
    <row r="30" s="5" customFormat="1" ht="196" customHeight="1" spans="1:30">
      <c r="A30" s="25">
        <v>3</v>
      </c>
      <c r="B30" s="29" t="s">
        <v>178</v>
      </c>
      <c r="C30" s="29" t="s">
        <v>179</v>
      </c>
      <c r="D30" s="27" t="s">
        <v>131</v>
      </c>
      <c r="E30" s="27" t="s">
        <v>84</v>
      </c>
      <c r="F30" s="28">
        <f t="shared" si="2"/>
        <v>466</v>
      </c>
      <c r="G30" s="32"/>
      <c r="H30" s="33"/>
      <c r="I30" s="33">
        <v>466</v>
      </c>
      <c r="J30" s="28"/>
      <c r="K30" s="33"/>
      <c r="L30" s="55">
        <f t="shared" si="3"/>
        <v>364.454666</v>
      </c>
      <c r="M30" s="28"/>
      <c r="N30" s="28"/>
      <c r="O30" s="58">
        <v>364.454666</v>
      </c>
      <c r="P30" s="28"/>
      <c r="Q30" s="28"/>
      <c r="R30" s="66" t="s">
        <v>180</v>
      </c>
      <c r="S30" s="66" t="s">
        <v>181</v>
      </c>
      <c r="T30" s="85" t="s">
        <v>182</v>
      </c>
      <c r="U30" s="66" t="s">
        <v>183</v>
      </c>
      <c r="V30" s="66"/>
      <c r="W30" s="66" t="s">
        <v>173</v>
      </c>
      <c r="X30" s="66"/>
      <c r="Y30" s="66" t="s">
        <v>54</v>
      </c>
      <c r="Z30" s="66" t="s">
        <v>55</v>
      </c>
      <c r="AA30" s="66" t="s">
        <v>184</v>
      </c>
      <c r="AB30" s="66">
        <v>80</v>
      </c>
      <c r="AC30" s="66">
        <v>0.06</v>
      </c>
      <c r="AD30" s="66">
        <v>0.2</v>
      </c>
    </row>
    <row r="31" s="5" customFormat="1" ht="40" customHeight="1" spans="1:30">
      <c r="A31" s="25">
        <v>5</v>
      </c>
      <c r="B31" s="34" t="s">
        <v>185</v>
      </c>
      <c r="C31" s="34" t="s">
        <v>186</v>
      </c>
      <c r="D31" s="30" t="s">
        <v>187</v>
      </c>
      <c r="E31" s="30" t="s">
        <v>84</v>
      </c>
      <c r="F31" s="28">
        <f t="shared" si="2"/>
        <v>200</v>
      </c>
      <c r="G31" s="32"/>
      <c r="H31" s="33"/>
      <c r="I31" s="64">
        <v>200</v>
      </c>
      <c r="J31" s="28"/>
      <c r="K31" s="33"/>
      <c r="L31" s="55">
        <f t="shared" si="3"/>
        <v>0</v>
      </c>
      <c r="M31" s="28"/>
      <c r="N31" s="28"/>
      <c r="O31" s="28"/>
      <c r="P31" s="28"/>
      <c r="Q31" s="28"/>
      <c r="R31" s="66" t="s">
        <v>188</v>
      </c>
      <c r="S31" s="66" t="s">
        <v>150</v>
      </c>
      <c r="T31" s="85" t="s">
        <v>43</v>
      </c>
      <c r="U31" s="66" t="s">
        <v>189</v>
      </c>
      <c r="V31" s="66"/>
      <c r="W31" s="66" t="s">
        <v>173</v>
      </c>
      <c r="X31" s="66"/>
      <c r="Y31" s="85">
        <v>2020.9</v>
      </c>
      <c r="Z31" s="66">
        <v>2020.12</v>
      </c>
      <c r="AA31" s="66" t="s">
        <v>190</v>
      </c>
      <c r="AB31" s="66">
        <v>52</v>
      </c>
      <c r="AC31" s="66">
        <v>0.8521</v>
      </c>
      <c r="AD31" s="66">
        <v>3.4</v>
      </c>
    </row>
    <row r="32" s="5" customFormat="1" ht="42" customHeight="1" spans="1:30">
      <c r="A32" s="25">
        <v>6</v>
      </c>
      <c r="B32" s="34" t="s">
        <v>191</v>
      </c>
      <c r="C32" s="34" t="s">
        <v>192</v>
      </c>
      <c r="D32" s="30" t="s">
        <v>193</v>
      </c>
      <c r="E32" s="30" t="s">
        <v>84</v>
      </c>
      <c r="F32" s="28">
        <f t="shared" si="2"/>
        <v>130</v>
      </c>
      <c r="G32" s="32"/>
      <c r="H32" s="33"/>
      <c r="I32" s="72">
        <v>130</v>
      </c>
      <c r="J32" s="28"/>
      <c r="K32" s="33"/>
      <c r="L32" s="55">
        <f t="shared" si="3"/>
        <v>128.05</v>
      </c>
      <c r="M32" s="28"/>
      <c r="N32" s="28"/>
      <c r="O32" s="71">
        <v>128.05</v>
      </c>
      <c r="P32" s="71"/>
      <c r="Q32" s="71"/>
      <c r="R32" s="85" t="s">
        <v>194</v>
      </c>
      <c r="S32" s="66" t="s">
        <v>93</v>
      </c>
      <c r="T32" s="85" t="s">
        <v>43</v>
      </c>
      <c r="U32" s="85" t="s">
        <v>195</v>
      </c>
      <c r="V32" s="85"/>
      <c r="W32" s="85"/>
      <c r="X32" s="85" t="s">
        <v>45</v>
      </c>
      <c r="Y32" s="85">
        <v>2020.3</v>
      </c>
      <c r="Z32" s="85">
        <v>2020.12</v>
      </c>
      <c r="AA32" s="85" t="s">
        <v>196</v>
      </c>
      <c r="AB32" s="85">
        <v>80</v>
      </c>
      <c r="AC32" s="85">
        <v>0.0548</v>
      </c>
      <c r="AD32" s="85">
        <v>0.1644</v>
      </c>
    </row>
    <row r="33" s="5" customFormat="1" ht="142" customHeight="1" spans="1:30">
      <c r="A33" s="25">
        <v>8</v>
      </c>
      <c r="B33" s="34" t="s">
        <v>197</v>
      </c>
      <c r="C33" s="34" t="s">
        <v>198</v>
      </c>
      <c r="D33" s="30" t="s">
        <v>131</v>
      </c>
      <c r="E33" s="30" t="s">
        <v>84</v>
      </c>
      <c r="F33" s="28">
        <f t="shared" si="2"/>
        <v>75.95277</v>
      </c>
      <c r="G33" s="32"/>
      <c r="H33" s="33"/>
      <c r="I33" s="64">
        <v>75.95277</v>
      </c>
      <c r="J33" s="28"/>
      <c r="K33" s="33"/>
      <c r="L33" s="55">
        <f t="shared" si="3"/>
        <v>75.95</v>
      </c>
      <c r="M33" s="28"/>
      <c r="N33" s="28"/>
      <c r="O33" s="63">
        <v>75.95</v>
      </c>
      <c r="P33" s="63"/>
      <c r="Q33" s="63"/>
      <c r="R33" s="66" t="s">
        <v>199</v>
      </c>
      <c r="S33" s="66" t="s">
        <v>93</v>
      </c>
      <c r="T33" s="85" t="s">
        <v>61</v>
      </c>
      <c r="U33" s="66" t="s">
        <v>61</v>
      </c>
      <c r="V33" s="66"/>
      <c r="W33" s="66"/>
      <c r="X33" s="66" t="s">
        <v>45</v>
      </c>
      <c r="Y33" s="66" t="s">
        <v>200</v>
      </c>
      <c r="Z33" s="66" t="s">
        <v>201</v>
      </c>
      <c r="AA33" s="112" t="s">
        <v>202</v>
      </c>
      <c r="AB33" s="66">
        <v>27</v>
      </c>
      <c r="AC33" s="66">
        <v>0.0706</v>
      </c>
      <c r="AD33" s="66">
        <v>0.296</v>
      </c>
    </row>
    <row r="34" s="5" customFormat="1" ht="72" customHeight="1" spans="1:30">
      <c r="A34" s="25">
        <v>9</v>
      </c>
      <c r="B34" s="34" t="s">
        <v>203</v>
      </c>
      <c r="C34" s="34" t="s">
        <v>204</v>
      </c>
      <c r="D34" s="30" t="s">
        <v>131</v>
      </c>
      <c r="E34" s="30" t="s">
        <v>84</v>
      </c>
      <c r="F34" s="28">
        <f t="shared" si="2"/>
        <v>21.5854</v>
      </c>
      <c r="G34" s="32"/>
      <c r="H34" s="33"/>
      <c r="I34" s="64">
        <v>21.5854</v>
      </c>
      <c r="J34" s="28"/>
      <c r="K34" s="33"/>
      <c r="L34" s="55">
        <f t="shared" si="3"/>
        <v>21.59</v>
      </c>
      <c r="M34" s="28"/>
      <c r="N34" s="28"/>
      <c r="O34" s="63">
        <v>21.59</v>
      </c>
      <c r="P34" s="63"/>
      <c r="Q34" s="63"/>
      <c r="R34" s="66" t="s">
        <v>199</v>
      </c>
      <c r="S34" s="66" t="s">
        <v>93</v>
      </c>
      <c r="T34" s="85" t="s">
        <v>61</v>
      </c>
      <c r="U34" s="66" t="s">
        <v>61</v>
      </c>
      <c r="V34" s="66"/>
      <c r="W34" s="66"/>
      <c r="X34" s="66" t="s">
        <v>45</v>
      </c>
      <c r="Y34" s="66" t="s">
        <v>200</v>
      </c>
      <c r="Z34" s="66" t="s">
        <v>205</v>
      </c>
      <c r="AA34" s="112" t="s">
        <v>206</v>
      </c>
      <c r="AB34" s="66">
        <v>6</v>
      </c>
      <c r="AC34" s="66">
        <v>0.0221</v>
      </c>
      <c r="AD34" s="66">
        <v>0.09</v>
      </c>
    </row>
    <row r="35" s="5" customFormat="1" ht="117" customHeight="1" spans="1:30">
      <c r="A35" s="25">
        <v>10</v>
      </c>
      <c r="B35" s="34" t="s">
        <v>207</v>
      </c>
      <c r="C35" s="34" t="s">
        <v>208</v>
      </c>
      <c r="D35" s="30" t="s">
        <v>209</v>
      </c>
      <c r="E35" s="30" t="s">
        <v>84</v>
      </c>
      <c r="F35" s="28">
        <f t="shared" si="2"/>
        <v>17.46183</v>
      </c>
      <c r="G35" s="32"/>
      <c r="H35" s="33"/>
      <c r="I35" s="64">
        <v>17.46183</v>
      </c>
      <c r="J35" s="28"/>
      <c r="K35" s="33"/>
      <c r="L35" s="55">
        <f t="shared" si="3"/>
        <v>16.87</v>
      </c>
      <c r="M35" s="28"/>
      <c r="N35" s="28"/>
      <c r="O35" s="28">
        <v>16.87</v>
      </c>
      <c r="P35" s="28"/>
      <c r="Q35" s="28"/>
      <c r="R35" s="66" t="s">
        <v>210</v>
      </c>
      <c r="S35" s="66" t="s">
        <v>86</v>
      </c>
      <c r="T35" s="85" t="s">
        <v>61</v>
      </c>
      <c r="U35" s="66" t="s">
        <v>61</v>
      </c>
      <c r="V35" s="66"/>
      <c r="W35" s="66"/>
      <c r="X35" s="66" t="s">
        <v>45</v>
      </c>
      <c r="Y35" s="66"/>
      <c r="Z35" s="66"/>
      <c r="AA35" s="112" t="s">
        <v>211</v>
      </c>
      <c r="AB35" s="66">
        <v>3</v>
      </c>
      <c r="AC35" s="66">
        <v>0.0674</v>
      </c>
      <c r="AD35" s="66"/>
    </row>
    <row r="36" s="5" customFormat="1" ht="82" customHeight="1" spans="1:30">
      <c r="A36" s="25">
        <v>11</v>
      </c>
      <c r="B36" s="34" t="s">
        <v>212</v>
      </c>
      <c r="C36" s="40" t="s">
        <v>213</v>
      </c>
      <c r="D36" s="30" t="s">
        <v>214</v>
      </c>
      <c r="E36" s="30" t="s">
        <v>84</v>
      </c>
      <c r="F36" s="28">
        <f t="shared" si="2"/>
        <v>30</v>
      </c>
      <c r="G36" s="32"/>
      <c r="H36" s="33"/>
      <c r="I36" s="64">
        <v>30</v>
      </c>
      <c r="J36" s="28"/>
      <c r="K36" s="33"/>
      <c r="L36" s="55">
        <f t="shared" si="3"/>
        <v>30</v>
      </c>
      <c r="M36" s="28"/>
      <c r="N36" s="28"/>
      <c r="O36" s="28">
        <v>30</v>
      </c>
      <c r="P36" s="28"/>
      <c r="Q36" s="28"/>
      <c r="R36" s="66" t="s">
        <v>215</v>
      </c>
      <c r="S36" s="66" t="s">
        <v>216</v>
      </c>
      <c r="T36" s="85" t="s">
        <v>43</v>
      </c>
      <c r="U36" s="66" t="s">
        <v>79</v>
      </c>
      <c r="V36" s="66"/>
      <c r="W36" s="66"/>
      <c r="X36" s="66" t="s">
        <v>45</v>
      </c>
      <c r="Y36" s="114">
        <v>43922</v>
      </c>
      <c r="Z36" s="114">
        <v>43983</v>
      </c>
      <c r="AA36" s="85" t="s">
        <v>217</v>
      </c>
      <c r="AB36" s="66">
        <v>3</v>
      </c>
      <c r="AC36" s="66">
        <v>0.0052</v>
      </c>
      <c r="AD36" s="66">
        <v>0.0216</v>
      </c>
    </row>
    <row r="37" s="5" customFormat="1" ht="88" customHeight="1" spans="1:30">
      <c r="A37" s="25">
        <v>12</v>
      </c>
      <c r="B37" s="34" t="s">
        <v>218</v>
      </c>
      <c r="C37" s="40" t="s">
        <v>219</v>
      </c>
      <c r="D37" s="30" t="s">
        <v>91</v>
      </c>
      <c r="E37" s="30" t="s">
        <v>84</v>
      </c>
      <c r="F37" s="28">
        <f t="shared" si="2"/>
        <v>60</v>
      </c>
      <c r="G37" s="32"/>
      <c r="H37" s="33"/>
      <c r="I37" s="64">
        <v>60</v>
      </c>
      <c r="J37" s="28"/>
      <c r="K37" s="33"/>
      <c r="L37" s="55">
        <f t="shared" si="3"/>
        <v>60</v>
      </c>
      <c r="M37" s="28"/>
      <c r="N37" s="28"/>
      <c r="O37" s="28">
        <v>60</v>
      </c>
      <c r="P37" s="28"/>
      <c r="Q37" s="28"/>
      <c r="R37" s="66" t="s">
        <v>188</v>
      </c>
      <c r="S37" s="66" t="s">
        <v>150</v>
      </c>
      <c r="T37" s="85" t="s">
        <v>43</v>
      </c>
      <c r="U37" s="66" t="s">
        <v>79</v>
      </c>
      <c r="V37" s="66"/>
      <c r="W37" s="66"/>
      <c r="X37" s="66" t="s">
        <v>45</v>
      </c>
      <c r="Y37" s="66">
        <v>2020.9</v>
      </c>
      <c r="Z37" s="66">
        <v>2020.11</v>
      </c>
      <c r="AA37" s="66" t="s">
        <v>220</v>
      </c>
      <c r="AB37" s="66">
        <v>1</v>
      </c>
      <c r="AC37" s="66">
        <v>0.0458</v>
      </c>
      <c r="AD37" s="66">
        <v>0.1455</v>
      </c>
    </row>
    <row r="38" s="5" customFormat="1" ht="222" customHeight="1" spans="1:30">
      <c r="A38" s="25">
        <v>13</v>
      </c>
      <c r="B38" s="34" t="s">
        <v>221</v>
      </c>
      <c r="C38" s="34" t="s">
        <v>222</v>
      </c>
      <c r="D38" s="30" t="s">
        <v>131</v>
      </c>
      <c r="E38" s="30" t="s">
        <v>84</v>
      </c>
      <c r="F38" s="28">
        <f t="shared" si="2"/>
        <v>119</v>
      </c>
      <c r="G38" s="32"/>
      <c r="H38" s="33"/>
      <c r="I38" s="64">
        <v>119</v>
      </c>
      <c r="J38" s="28"/>
      <c r="K38" s="33"/>
      <c r="L38" s="55">
        <f t="shared" si="3"/>
        <v>115.2</v>
      </c>
      <c r="M38" s="28"/>
      <c r="N38" s="28"/>
      <c r="O38" s="73">
        <v>115.2</v>
      </c>
      <c r="P38" s="73"/>
      <c r="Q38" s="73"/>
      <c r="R38" s="85" t="s">
        <v>223</v>
      </c>
      <c r="S38" s="66" t="s">
        <v>93</v>
      </c>
      <c r="T38" s="85" t="s">
        <v>61</v>
      </c>
      <c r="U38" s="85" t="s">
        <v>224</v>
      </c>
      <c r="V38" s="85"/>
      <c r="W38" s="85"/>
      <c r="X38" s="85" t="s">
        <v>45</v>
      </c>
      <c r="Y38" s="85" t="s">
        <v>225</v>
      </c>
      <c r="Z38" s="85"/>
      <c r="AA38" s="85" t="s">
        <v>226</v>
      </c>
      <c r="AB38" s="85">
        <v>1</v>
      </c>
      <c r="AC38" s="85">
        <v>0.0202</v>
      </c>
      <c r="AD38" s="85">
        <v>0.0834</v>
      </c>
    </row>
    <row r="39" s="5" customFormat="1" ht="156" customHeight="1" spans="1:30">
      <c r="A39" s="25">
        <v>15</v>
      </c>
      <c r="B39" s="34" t="s">
        <v>227</v>
      </c>
      <c r="C39" s="41" t="s">
        <v>228</v>
      </c>
      <c r="D39" s="42" t="s">
        <v>229</v>
      </c>
      <c r="E39" s="42" t="s">
        <v>84</v>
      </c>
      <c r="F39" s="28">
        <f t="shared" si="2"/>
        <v>34</v>
      </c>
      <c r="G39" s="32"/>
      <c r="H39" s="33"/>
      <c r="I39" s="64">
        <v>34</v>
      </c>
      <c r="J39" s="28"/>
      <c r="K39" s="33"/>
      <c r="L39" s="55">
        <f t="shared" si="3"/>
        <v>32.85</v>
      </c>
      <c r="M39" s="28"/>
      <c r="N39" s="28"/>
      <c r="O39" s="28">
        <v>32.85</v>
      </c>
      <c r="P39" s="28"/>
      <c r="Q39" s="28"/>
      <c r="R39" s="66" t="s">
        <v>230</v>
      </c>
      <c r="S39" s="66" t="s">
        <v>231</v>
      </c>
      <c r="T39" s="66" t="s">
        <v>61</v>
      </c>
      <c r="U39" s="66" t="s">
        <v>232</v>
      </c>
      <c r="V39" s="66"/>
      <c r="W39" s="66"/>
      <c r="X39" s="66" t="s">
        <v>45</v>
      </c>
      <c r="Y39" s="66" t="s">
        <v>233</v>
      </c>
      <c r="Z39" s="66" t="s">
        <v>234</v>
      </c>
      <c r="AA39" s="112" t="s">
        <v>235</v>
      </c>
      <c r="AB39" s="66">
        <v>1</v>
      </c>
      <c r="AC39" s="66">
        <v>0.0015</v>
      </c>
      <c r="AD39" s="66">
        <v>0.0059</v>
      </c>
    </row>
    <row r="40" s="5" customFormat="1" ht="164" customHeight="1" spans="1:30">
      <c r="A40" s="25">
        <v>16</v>
      </c>
      <c r="B40" s="34" t="s">
        <v>236</v>
      </c>
      <c r="C40" s="34" t="s">
        <v>237</v>
      </c>
      <c r="D40" s="30" t="s">
        <v>238</v>
      </c>
      <c r="E40" s="30" t="s">
        <v>84</v>
      </c>
      <c r="F40" s="28">
        <f t="shared" si="2"/>
        <v>258.95</v>
      </c>
      <c r="G40" s="32"/>
      <c r="H40" s="33"/>
      <c r="I40" s="64">
        <v>258.95</v>
      </c>
      <c r="J40" s="28"/>
      <c r="K40" s="33"/>
      <c r="L40" s="55">
        <f t="shared" si="3"/>
        <v>194.2897</v>
      </c>
      <c r="M40" s="28"/>
      <c r="N40" s="28"/>
      <c r="O40" s="74">
        <f>126+68.2897</f>
        <v>194.2897</v>
      </c>
      <c r="P40" s="28"/>
      <c r="Q40" s="28"/>
      <c r="R40" s="66"/>
      <c r="S40" s="66"/>
      <c r="T40" s="85" t="s">
        <v>52</v>
      </c>
      <c r="U40" s="85" t="s">
        <v>52</v>
      </c>
      <c r="V40" s="66"/>
      <c r="W40" s="85" t="s">
        <v>173</v>
      </c>
      <c r="X40" s="66"/>
      <c r="Y40" s="66">
        <v>2020.3</v>
      </c>
      <c r="Z40" s="66"/>
      <c r="AA40" s="66" t="s">
        <v>239</v>
      </c>
      <c r="AB40" s="66">
        <v>4</v>
      </c>
      <c r="AC40" s="66">
        <v>0.0521</v>
      </c>
      <c r="AD40" s="66">
        <v>0.2299</v>
      </c>
    </row>
    <row r="41" s="5" customFormat="1" ht="63" customHeight="1" spans="1:30">
      <c r="A41" s="25">
        <v>17</v>
      </c>
      <c r="B41" s="34" t="s">
        <v>240</v>
      </c>
      <c r="C41" s="34" t="s">
        <v>241</v>
      </c>
      <c r="D41" s="30" t="s">
        <v>83</v>
      </c>
      <c r="E41" s="30" t="s">
        <v>84</v>
      </c>
      <c r="F41" s="28">
        <f t="shared" si="2"/>
        <v>10</v>
      </c>
      <c r="G41" s="32"/>
      <c r="H41" s="33"/>
      <c r="I41" s="64">
        <v>10</v>
      </c>
      <c r="J41" s="28"/>
      <c r="K41" s="33"/>
      <c r="L41" s="55">
        <f t="shared" si="3"/>
        <v>10</v>
      </c>
      <c r="M41" s="28"/>
      <c r="N41" s="28"/>
      <c r="O41" s="28">
        <v>10</v>
      </c>
      <c r="P41" s="28"/>
      <c r="Q41" s="28"/>
      <c r="R41" s="85"/>
      <c r="S41" s="66"/>
      <c r="T41" s="85" t="s">
        <v>61</v>
      </c>
      <c r="U41" s="85" t="s">
        <v>71</v>
      </c>
      <c r="W41" s="85"/>
      <c r="X41" s="85" t="s">
        <v>45</v>
      </c>
      <c r="Y41" s="85" t="s">
        <v>242</v>
      </c>
      <c r="Z41" s="85"/>
      <c r="AA41" s="113" t="s">
        <v>243</v>
      </c>
      <c r="AB41" s="66">
        <v>1</v>
      </c>
      <c r="AC41" s="85">
        <f>271/10000</f>
        <v>0.0271</v>
      </c>
      <c r="AD41" s="85">
        <f>839/10000</f>
        <v>0.0839</v>
      </c>
    </row>
    <row r="42" s="5" customFormat="1" ht="51" customHeight="1" spans="1:30">
      <c r="A42" s="43"/>
      <c r="B42" s="35" t="s">
        <v>244</v>
      </c>
      <c r="C42" s="35" t="s">
        <v>245</v>
      </c>
      <c r="D42" s="36" t="s">
        <v>246</v>
      </c>
      <c r="E42" s="33">
        <f>F42+O42+P42</f>
        <v>5</v>
      </c>
      <c r="F42" s="33">
        <f>SUM(G42:N42)</f>
        <v>5</v>
      </c>
      <c r="G42" s="32"/>
      <c r="H42" s="33"/>
      <c r="I42" s="64">
        <v>4.6</v>
      </c>
      <c r="J42" s="64"/>
      <c r="K42" s="75">
        <v>0.4</v>
      </c>
      <c r="L42" s="55">
        <f t="shared" si="3"/>
        <v>0</v>
      </c>
      <c r="M42" s="33"/>
      <c r="N42" s="33"/>
      <c r="O42" s="33"/>
      <c r="P42" s="33"/>
      <c r="Q42" s="90"/>
      <c r="R42" s="91"/>
      <c r="S42" s="91"/>
      <c r="T42" s="92" t="s">
        <v>43</v>
      </c>
      <c r="U42" s="92" t="s">
        <v>247</v>
      </c>
      <c r="V42" s="85"/>
      <c r="W42" s="85" t="s">
        <v>173</v>
      </c>
      <c r="X42" s="93"/>
      <c r="Y42" s="93"/>
      <c r="Z42" s="93"/>
      <c r="AA42" s="113" t="s">
        <v>248</v>
      </c>
      <c r="AB42" s="98">
        <v>1</v>
      </c>
      <c r="AC42" s="98">
        <v>0.006</v>
      </c>
      <c r="AD42" s="98">
        <v>0.0063</v>
      </c>
    </row>
    <row r="43" s="5" customFormat="1" ht="51" customHeight="1" spans="1:30">
      <c r="A43" s="43"/>
      <c r="B43" s="35" t="s">
        <v>249</v>
      </c>
      <c r="C43" s="35" t="s">
        <v>250</v>
      </c>
      <c r="D43" s="36" t="s">
        <v>246</v>
      </c>
      <c r="E43" s="33"/>
      <c r="F43" s="33">
        <f>SUM(G43:K43)</f>
        <v>30</v>
      </c>
      <c r="G43" s="32"/>
      <c r="H43" s="33"/>
      <c r="I43" s="64"/>
      <c r="J43" s="64"/>
      <c r="K43" s="75">
        <v>30</v>
      </c>
      <c r="L43" s="55">
        <f t="shared" si="3"/>
        <v>30</v>
      </c>
      <c r="M43" s="33"/>
      <c r="N43" s="33"/>
      <c r="O43" s="33"/>
      <c r="P43" s="33"/>
      <c r="Q43" s="90">
        <v>30</v>
      </c>
      <c r="R43" s="91"/>
      <c r="S43" s="91"/>
      <c r="T43" s="92" t="s">
        <v>165</v>
      </c>
      <c r="U43" s="92" t="s">
        <v>165</v>
      </c>
      <c r="V43" s="94"/>
      <c r="W43" s="85"/>
      <c r="X43" s="87" t="s">
        <v>45</v>
      </c>
      <c r="Y43" s="98">
        <v>2020.1</v>
      </c>
      <c r="Z43" s="93"/>
      <c r="AA43" s="93" t="s">
        <v>251</v>
      </c>
      <c r="AB43" s="98"/>
      <c r="AC43" s="98"/>
      <c r="AD43" s="98"/>
    </row>
    <row r="44" s="4" customFormat="1" ht="56" customHeight="1" spans="1:30">
      <c r="A44" s="25">
        <v>19</v>
      </c>
      <c r="B44" s="29" t="s">
        <v>252</v>
      </c>
      <c r="C44" s="29" t="s">
        <v>253</v>
      </c>
      <c r="D44" s="27" t="s">
        <v>254</v>
      </c>
      <c r="E44" s="27" t="s">
        <v>84</v>
      </c>
      <c r="F44" s="28">
        <f>SUM(G44:K44)</f>
        <v>32</v>
      </c>
      <c r="G44" s="32"/>
      <c r="H44" s="33"/>
      <c r="I44" s="33">
        <v>32</v>
      </c>
      <c r="J44" s="28"/>
      <c r="K44" s="33"/>
      <c r="L44" s="55">
        <f t="shared" si="3"/>
        <v>31.75</v>
      </c>
      <c r="M44" s="28"/>
      <c r="N44" s="28"/>
      <c r="O44" s="28">
        <v>31.75</v>
      </c>
      <c r="P44" s="28"/>
      <c r="Q44" s="28"/>
      <c r="R44" s="87" t="s">
        <v>255</v>
      </c>
      <c r="S44" s="88" t="s">
        <v>256</v>
      </c>
      <c r="T44" s="85" t="s">
        <v>43</v>
      </c>
      <c r="U44" s="87" t="s">
        <v>257</v>
      </c>
      <c r="V44" s="87"/>
      <c r="W44" s="87"/>
      <c r="X44" s="87" t="s">
        <v>45</v>
      </c>
      <c r="Y44" s="87" t="s">
        <v>234</v>
      </c>
      <c r="Z44" s="87"/>
      <c r="AA44" s="87" t="s">
        <v>258</v>
      </c>
      <c r="AB44" s="87">
        <v>52</v>
      </c>
      <c r="AC44" s="82"/>
      <c r="AD44" s="82"/>
    </row>
    <row r="45" s="4" customFormat="1" ht="27" customHeight="1" spans="1:30">
      <c r="A45" s="25" t="s">
        <v>259</v>
      </c>
      <c r="B45" s="16" t="s">
        <v>260</v>
      </c>
      <c r="C45" s="29"/>
      <c r="D45" s="27"/>
      <c r="E45" s="27"/>
      <c r="F45" s="28">
        <f>SUM(G45:K45)</f>
        <v>1486.368</v>
      </c>
      <c r="G45" s="38">
        <f>SUM(G46:G58)</f>
        <v>137.15</v>
      </c>
      <c r="H45" s="38">
        <f>SUM(H46:H58)</f>
        <v>299.8</v>
      </c>
      <c r="I45" s="38">
        <f>SUM(I46:I58)</f>
        <v>770.1</v>
      </c>
      <c r="J45" s="38">
        <f>SUM(J46:J58)</f>
        <v>0</v>
      </c>
      <c r="K45" s="38">
        <f>SUM(K46:K58)</f>
        <v>279.318</v>
      </c>
      <c r="L45" s="55">
        <f t="shared" si="3"/>
        <v>1415.91095</v>
      </c>
      <c r="M45" s="28">
        <f>SUM(M46:M58)</f>
        <v>137.1</v>
      </c>
      <c r="N45" s="28">
        <f>SUM(N46:N58)</f>
        <v>274.09295</v>
      </c>
      <c r="O45" s="28">
        <f>SUM(O46:O58)</f>
        <v>746.1</v>
      </c>
      <c r="P45" s="28">
        <f>SUM(P46:P58)</f>
        <v>0</v>
      </c>
      <c r="Q45" s="28">
        <f>SUM(Q46:Q58)</f>
        <v>258.618</v>
      </c>
      <c r="R45" s="87"/>
      <c r="S45" s="88"/>
      <c r="T45" s="87"/>
      <c r="U45" s="87"/>
      <c r="V45" s="87"/>
      <c r="W45" s="87"/>
      <c r="X45" s="87"/>
      <c r="Y45" s="87"/>
      <c r="Z45" s="87"/>
      <c r="AA45" s="87"/>
      <c r="AB45" s="87"/>
      <c r="AC45" s="87"/>
      <c r="AD45" s="87"/>
    </row>
    <row r="46" s="6" customFormat="1" ht="99" customHeight="1" spans="1:30">
      <c r="A46" s="44">
        <v>1</v>
      </c>
      <c r="B46" s="45" t="s">
        <v>261</v>
      </c>
      <c r="C46" s="45" t="s">
        <v>262</v>
      </c>
      <c r="D46" s="46">
        <v>2020</v>
      </c>
      <c r="E46" s="27" t="s">
        <v>84</v>
      </c>
      <c r="F46" s="47">
        <f>SUM(G46:K46)</f>
        <v>44.15</v>
      </c>
      <c r="G46" s="48">
        <f>59.15-15</f>
        <v>44.15</v>
      </c>
      <c r="H46" s="48"/>
      <c r="I46" s="48"/>
      <c r="J46" s="48"/>
      <c r="K46" s="48"/>
      <c r="L46" s="48">
        <f>M46+N46+O46+P46+Q46</f>
        <v>44.1</v>
      </c>
      <c r="M46" s="48">
        <v>44.1</v>
      </c>
      <c r="N46" s="48"/>
      <c r="O46" s="48"/>
      <c r="P46" s="48"/>
      <c r="Q46" s="46"/>
      <c r="R46" s="95"/>
      <c r="S46" s="96">
        <v>0.008</v>
      </c>
      <c r="T46" s="95" t="s">
        <v>263</v>
      </c>
      <c r="U46" s="95" t="s">
        <v>263</v>
      </c>
      <c r="V46" s="97"/>
      <c r="W46" s="98"/>
      <c r="X46" s="66" t="s">
        <v>45</v>
      </c>
      <c r="Y46" s="99">
        <v>2020.4</v>
      </c>
      <c r="Z46" s="99" t="s">
        <v>55</v>
      </c>
      <c r="AA46" s="94" t="s">
        <v>262</v>
      </c>
      <c r="AB46" s="95"/>
      <c r="AC46" s="95">
        <v>0.008</v>
      </c>
      <c r="AD46" s="95">
        <v>0.008</v>
      </c>
    </row>
    <row r="47" s="1" customFormat="1" ht="74" customHeight="1" spans="1:30">
      <c r="A47" s="25">
        <v>2</v>
      </c>
      <c r="B47" s="29" t="s">
        <v>264</v>
      </c>
      <c r="C47" s="29" t="s">
        <v>265</v>
      </c>
      <c r="D47" s="27" t="s">
        <v>39</v>
      </c>
      <c r="E47" s="27" t="s">
        <v>84</v>
      </c>
      <c r="F47" s="28">
        <f>SUM(G47:K47)</f>
        <v>532.8</v>
      </c>
      <c r="G47" s="32">
        <v>0</v>
      </c>
      <c r="H47" s="32"/>
      <c r="I47" s="32">
        <v>532.8</v>
      </c>
      <c r="J47" s="38"/>
      <c r="K47" s="38"/>
      <c r="L47" s="55">
        <f>SUM(M47:Q47)</f>
        <v>532.8</v>
      </c>
      <c r="M47" s="28"/>
      <c r="N47" s="28"/>
      <c r="O47" s="28">
        <v>532.8</v>
      </c>
      <c r="P47" s="28"/>
      <c r="Q47" s="28"/>
      <c r="R47" s="87"/>
      <c r="S47" s="88"/>
      <c r="T47" s="87" t="s">
        <v>266</v>
      </c>
      <c r="U47" s="87" t="s">
        <v>266</v>
      </c>
      <c r="V47" s="87"/>
      <c r="W47" s="87"/>
      <c r="X47" s="66" t="s">
        <v>45</v>
      </c>
      <c r="Y47" s="87">
        <v>20200.3</v>
      </c>
      <c r="Z47" s="87" t="s">
        <v>55</v>
      </c>
      <c r="AA47" s="117" t="s">
        <v>265</v>
      </c>
      <c r="AB47" s="87"/>
      <c r="AC47" s="87">
        <v>0.015</v>
      </c>
      <c r="AD47" s="87"/>
    </row>
    <row r="48" s="1" customFormat="1" ht="92" customHeight="1" spans="1:30">
      <c r="A48" s="43">
        <v>3</v>
      </c>
      <c r="B48" s="49" t="s">
        <v>267</v>
      </c>
      <c r="C48" s="49" t="s">
        <v>268</v>
      </c>
      <c r="D48" s="50" t="s">
        <v>39</v>
      </c>
      <c r="E48" s="33">
        <f t="shared" ref="E48:E52" si="4">F48+O48+P48</f>
        <v>240</v>
      </c>
      <c r="F48" s="33">
        <f>SUM(G48:N48)</f>
        <v>240</v>
      </c>
      <c r="G48" s="32"/>
      <c r="H48" s="32">
        <v>80</v>
      </c>
      <c r="I48" s="32"/>
      <c r="J48" s="32"/>
      <c r="K48" s="32"/>
      <c r="L48" s="55">
        <f>SUM(M48:Q48)</f>
        <v>80</v>
      </c>
      <c r="M48" s="32"/>
      <c r="N48" s="32">
        <v>80</v>
      </c>
      <c r="O48" s="32"/>
      <c r="P48" s="32"/>
      <c r="Q48" s="50"/>
      <c r="R48" s="95">
        <v>0.008</v>
      </c>
      <c r="S48" s="96">
        <v>0.008</v>
      </c>
      <c r="T48" s="95" t="s">
        <v>43</v>
      </c>
      <c r="U48" s="95" t="s">
        <v>43</v>
      </c>
      <c r="V48" s="95"/>
      <c r="W48" s="99"/>
      <c r="X48" s="66" t="s">
        <v>45</v>
      </c>
      <c r="Y48" s="99">
        <v>2020.4</v>
      </c>
      <c r="Z48" s="99" t="s">
        <v>55</v>
      </c>
      <c r="AA48" s="95" t="s">
        <v>268</v>
      </c>
      <c r="AB48" s="99"/>
      <c r="AC48" s="99">
        <v>0.008</v>
      </c>
      <c r="AD48" s="99">
        <v>0.008</v>
      </c>
    </row>
    <row r="49" s="1" customFormat="1" ht="83" customHeight="1" spans="1:30">
      <c r="A49" s="43">
        <v>4</v>
      </c>
      <c r="B49" s="49" t="s">
        <v>269</v>
      </c>
      <c r="C49" s="49" t="s">
        <v>270</v>
      </c>
      <c r="D49" s="50" t="s">
        <v>39</v>
      </c>
      <c r="E49" s="33"/>
      <c r="F49" s="28">
        <f>SUM(G49:K49)</f>
        <v>18.4</v>
      </c>
      <c r="G49" s="32"/>
      <c r="H49" s="32">
        <v>18.4</v>
      </c>
      <c r="I49" s="32"/>
      <c r="J49" s="32"/>
      <c r="K49" s="32"/>
      <c r="L49" s="55">
        <f>SUM(M49:Q49)</f>
        <v>18.4</v>
      </c>
      <c r="M49" s="32"/>
      <c r="N49" s="32">
        <v>18.4</v>
      </c>
      <c r="O49" s="32"/>
      <c r="P49" s="32"/>
      <c r="Q49" s="50"/>
      <c r="R49" s="95"/>
      <c r="S49" s="96"/>
      <c r="T49" s="95" t="s">
        <v>266</v>
      </c>
      <c r="U49" s="95" t="s">
        <v>266</v>
      </c>
      <c r="V49" s="100"/>
      <c r="W49" s="101"/>
      <c r="X49" s="66" t="s">
        <v>45</v>
      </c>
      <c r="Y49" s="99">
        <v>2020.4</v>
      </c>
      <c r="Z49" s="99" t="s">
        <v>55</v>
      </c>
      <c r="AA49" s="94" t="s">
        <v>270</v>
      </c>
      <c r="AB49" s="103"/>
      <c r="AC49" s="103">
        <v>0.0012</v>
      </c>
      <c r="AD49" s="103"/>
    </row>
    <row r="50" s="1" customFormat="1" ht="89" customHeight="1" spans="1:30">
      <c r="A50" s="43">
        <v>5</v>
      </c>
      <c r="B50" s="49" t="s">
        <v>271</v>
      </c>
      <c r="C50" s="49" t="s">
        <v>272</v>
      </c>
      <c r="D50" s="50" t="s">
        <v>39</v>
      </c>
      <c r="E50" s="33">
        <f t="shared" si="4"/>
        <v>102.7859</v>
      </c>
      <c r="F50" s="33">
        <f>SUM(G50:N50)</f>
        <v>102.7859</v>
      </c>
      <c r="G50" s="32"/>
      <c r="H50" s="32">
        <v>51.4</v>
      </c>
      <c r="I50" s="32"/>
      <c r="J50" s="32"/>
      <c r="K50" s="32"/>
      <c r="L50" s="55">
        <f>SUM(M50:Q50)</f>
        <v>25.69295</v>
      </c>
      <c r="M50" s="32"/>
      <c r="N50" s="32">
        <v>25.69295</v>
      </c>
      <c r="O50" s="32"/>
      <c r="P50" s="32"/>
      <c r="Q50" s="50"/>
      <c r="R50" s="95"/>
      <c r="S50" s="96"/>
      <c r="T50" s="95" t="s">
        <v>273</v>
      </c>
      <c r="U50" s="95" t="s">
        <v>273</v>
      </c>
      <c r="V50" s="102"/>
      <c r="W50" s="98"/>
      <c r="X50" s="87" t="s">
        <v>45</v>
      </c>
      <c r="Y50" s="99">
        <v>2020.4</v>
      </c>
      <c r="Z50" s="118" t="s">
        <v>55</v>
      </c>
      <c r="AA50" s="94" t="s">
        <v>272</v>
      </c>
      <c r="AB50" s="103"/>
      <c r="AC50" s="103">
        <v>0.0054</v>
      </c>
      <c r="AD50" s="103">
        <v>0.0054</v>
      </c>
    </row>
    <row r="51" s="1" customFormat="1" ht="81" customHeight="1" spans="1:30">
      <c r="A51" s="43">
        <v>4</v>
      </c>
      <c r="B51" s="49" t="s">
        <v>274</v>
      </c>
      <c r="C51" s="49" t="s">
        <v>275</v>
      </c>
      <c r="D51" s="50" t="s">
        <v>148</v>
      </c>
      <c r="E51" s="27" t="s">
        <v>76</v>
      </c>
      <c r="F51" s="47">
        <f t="shared" ref="F51:F57" si="5">SUM(G51:K51)</f>
        <v>52.38</v>
      </c>
      <c r="G51" s="32">
        <v>0</v>
      </c>
      <c r="H51" s="32"/>
      <c r="I51" s="32"/>
      <c r="J51" s="32"/>
      <c r="K51" s="32">
        <v>52.38</v>
      </c>
      <c r="L51" s="48">
        <f>M51+N51+O51+P51+Q51</f>
        <v>52.38</v>
      </c>
      <c r="M51" s="32"/>
      <c r="N51" s="32"/>
      <c r="O51" s="32"/>
      <c r="P51" s="32"/>
      <c r="Q51" s="50">
        <v>52.38</v>
      </c>
      <c r="R51" s="95"/>
      <c r="S51" s="96"/>
      <c r="T51" s="95" t="s">
        <v>263</v>
      </c>
      <c r="U51" s="95" t="s">
        <v>263</v>
      </c>
      <c r="V51" s="94"/>
      <c r="W51" s="99"/>
      <c r="X51" s="87" t="s">
        <v>45</v>
      </c>
      <c r="Y51" s="99">
        <v>2020.5</v>
      </c>
      <c r="Z51" s="99">
        <v>2020.12</v>
      </c>
      <c r="AA51" s="94" t="s">
        <v>275</v>
      </c>
      <c r="AB51" s="103"/>
      <c r="AC51" s="103">
        <v>0.055</v>
      </c>
      <c r="AD51" s="103">
        <v>0.055</v>
      </c>
    </row>
    <row r="52" s="1" customFormat="1" ht="81" customHeight="1" spans="1:30">
      <c r="A52" s="43">
        <v>5</v>
      </c>
      <c r="B52" s="49" t="s">
        <v>276</v>
      </c>
      <c r="C52" s="51" t="s">
        <v>277</v>
      </c>
      <c r="D52" s="50" t="s">
        <v>148</v>
      </c>
      <c r="E52" s="27" t="s">
        <v>76</v>
      </c>
      <c r="F52" s="47">
        <f t="shared" si="5"/>
        <v>5</v>
      </c>
      <c r="G52" s="32"/>
      <c r="H52" s="32"/>
      <c r="I52" s="32"/>
      <c r="J52" s="32"/>
      <c r="K52" s="32">
        <v>5</v>
      </c>
      <c r="L52" s="48">
        <f>M52+N52+O52+P52+Q52</f>
        <v>1.8</v>
      </c>
      <c r="M52" s="32"/>
      <c r="N52" s="32"/>
      <c r="O52" s="32"/>
      <c r="P52" s="32"/>
      <c r="Q52" s="50">
        <v>1.8</v>
      </c>
      <c r="R52" s="95"/>
      <c r="S52" s="96"/>
      <c r="T52" s="95" t="s">
        <v>263</v>
      </c>
      <c r="U52" s="95" t="s">
        <v>263</v>
      </c>
      <c r="V52" s="94"/>
      <c r="W52" s="103"/>
      <c r="X52" s="103"/>
      <c r="Y52" s="99">
        <v>2020.5</v>
      </c>
      <c r="Z52" s="103" t="s">
        <v>55</v>
      </c>
      <c r="AA52" s="119" t="s">
        <v>277</v>
      </c>
      <c r="AB52" s="103"/>
      <c r="AC52" s="103">
        <v>0.001</v>
      </c>
      <c r="AD52" s="103"/>
    </row>
    <row r="53" s="1" customFormat="1" ht="55" customHeight="1" spans="1:30">
      <c r="A53" s="25">
        <v>6</v>
      </c>
      <c r="B53" s="29" t="s">
        <v>278</v>
      </c>
      <c r="C53" s="52" t="s">
        <v>279</v>
      </c>
      <c r="D53" s="27">
        <v>2020</v>
      </c>
      <c r="E53" s="27" t="s">
        <v>76</v>
      </c>
      <c r="F53" s="47">
        <f t="shared" si="5"/>
        <v>10</v>
      </c>
      <c r="G53" s="32"/>
      <c r="H53" s="32"/>
      <c r="I53" s="32"/>
      <c r="J53" s="38"/>
      <c r="K53" s="32">
        <v>10</v>
      </c>
      <c r="L53" s="48">
        <f>M53+N53+O53+P53+Q53</f>
        <v>10</v>
      </c>
      <c r="M53" s="28"/>
      <c r="N53" s="28"/>
      <c r="O53" s="28"/>
      <c r="P53" s="28"/>
      <c r="Q53" s="28">
        <v>10</v>
      </c>
      <c r="R53" s="87" t="s">
        <v>280</v>
      </c>
      <c r="S53" s="88"/>
      <c r="T53" s="87" t="s">
        <v>263</v>
      </c>
      <c r="U53" s="87" t="s">
        <v>263</v>
      </c>
      <c r="V53" s="87"/>
      <c r="W53" s="87"/>
      <c r="X53" s="87" t="s">
        <v>45</v>
      </c>
      <c r="Y53" s="87">
        <v>2020.7</v>
      </c>
      <c r="Z53" s="87" t="s">
        <v>55</v>
      </c>
      <c r="AA53" s="120" t="s">
        <v>279</v>
      </c>
      <c r="AB53" s="87">
        <v>12</v>
      </c>
      <c r="AC53" s="87"/>
      <c r="AD53" s="87"/>
    </row>
    <row r="54" s="1" customFormat="1" ht="101" customHeight="1" spans="1:30">
      <c r="A54" s="25">
        <v>7</v>
      </c>
      <c r="B54" s="29" t="s">
        <v>281</v>
      </c>
      <c r="C54" s="29" t="s">
        <v>282</v>
      </c>
      <c r="D54" s="27" t="s">
        <v>148</v>
      </c>
      <c r="E54" s="27" t="s">
        <v>76</v>
      </c>
      <c r="F54" s="47">
        <f t="shared" si="5"/>
        <v>160</v>
      </c>
      <c r="G54" s="32">
        <v>0</v>
      </c>
      <c r="H54" s="32"/>
      <c r="I54" s="32"/>
      <c r="J54" s="38"/>
      <c r="K54" s="32">
        <f>100+60</f>
        <v>160</v>
      </c>
      <c r="L54" s="48">
        <f>M54+N54+O54+P54+Q54</f>
        <v>145.5</v>
      </c>
      <c r="M54" s="28"/>
      <c r="N54" s="28"/>
      <c r="O54" s="28"/>
      <c r="P54" s="28"/>
      <c r="Q54" s="104">
        <v>145.5</v>
      </c>
      <c r="R54" s="87" t="s">
        <v>283</v>
      </c>
      <c r="S54" s="88"/>
      <c r="T54" s="87" t="s">
        <v>263</v>
      </c>
      <c r="U54" s="87" t="s">
        <v>263</v>
      </c>
      <c r="V54" s="87"/>
      <c r="W54" s="87"/>
      <c r="X54" s="87" t="s">
        <v>45</v>
      </c>
      <c r="Y54" s="87">
        <v>2020.4</v>
      </c>
      <c r="Z54" s="87"/>
      <c r="AA54" s="87"/>
      <c r="AB54" s="87">
        <v>80</v>
      </c>
      <c r="AC54" s="87">
        <v>0.05</v>
      </c>
      <c r="AD54" s="87"/>
    </row>
    <row r="55" s="1" customFormat="1" ht="65" customHeight="1" spans="1:30">
      <c r="A55" s="25">
        <v>8</v>
      </c>
      <c r="B55" s="29" t="s">
        <v>284</v>
      </c>
      <c r="C55" s="29" t="s">
        <v>285</v>
      </c>
      <c r="D55" s="27" t="s">
        <v>148</v>
      </c>
      <c r="E55" s="27" t="s">
        <v>76</v>
      </c>
      <c r="F55" s="28">
        <f t="shared" si="5"/>
        <v>49.95</v>
      </c>
      <c r="G55" s="32">
        <v>0</v>
      </c>
      <c r="H55" s="32"/>
      <c r="I55" s="32"/>
      <c r="J55" s="38"/>
      <c r="K55" s="32">
        <f>50-0.05</f>
        <v>49.95</v>
      </c>
      <c r="L55" s="55">
        <f>SUM(M55:Q55)</f>
        <v>46.95</v>
      </c>
      <c r="M55" s="28"/>
      <c r="N55" s="28"/>
      <c r="O55" s="28"/>
      <c r="P55" s="28"/>
      <c r="Q55" s="28">
        <v>46.95</v>
      </c>
      <c r="R55" s="87" t="s">
        <v>286</v>
      </c>
      <c r="S55" s="88" t="s">
        <v>287</v>
      </c>
      <c r="T55" s="87" t="s">
        <v>43</v>
      </c>
      <c r="U55" s="87" t="s">
        <v>288</v>
      </c>
      <c r="V55" s="87"/>
      <c r="W55" s="87"/>
      <c r="X55" s="87" t="s">
        <v>45</v>
      </c>
      <c r="Y55" s="87" t="s">
        <v>289</v>
      </c>
      <c r="Z55" s="87" t="s">
        <v>290</v>
      </c>
      <c r="AA55" s="87" t="s">
        <v>291</v>
      </c>
      <c r="AB55" s="87">
        <v>34</v>
      </c>
      <c r="AC55" s="87">
        <v>0.015</v>
      </c>
      <c r="AD55" s="87">
        <v>0.015</v>
      </c>
    </row>
    <row r="56" s="1" customFormat="1" ht="77" customHeight="1" spans="1:30">
      <c r="A56" s="43">
        <v>9</v>
      </c>
      <c r="B56" s="49" t="s">
        <v>292</v>
      </c>
      <c r="C56" s="49" t="s">
        <v>293</v>
      </c>
      <c r="D56" s="50" t="s">
        <v>148</v>
      </c>
      <c r="E56" s="33"/>
      <c r="F56" s="33">
        <f t="shared" si="5"/>
        <v>336</v>
      </c>
      <c r="G56" s="32"/>
      <c r="H56" s="32">
        <v>150</v>
      </c>
      <c r="I56" s="32">
        <f>60+150-24</f>
        <v>186</v>
      </c>
      <c r="J56" s="32"/>
      <c r="K56" s="32"/>
      <c r="L56" s="32">
        <f>M56+N56+O56+P56+Q56</f>
        <v>321</v>
      </c>
      <c r="M56" s="32"/>
      <c r="N56" s="32">
        <v>150</v>
      </c>
      <c r="O56" s="32">
        <v>171</v>
      </c>
      <c r="P56" s="32"/>
      <c r="Q56" s="50"/>
      <c r="R56" s="95"/>
      <c r="S56" s="96"/>
      <c r="T56" s="95" t="s">
        <v>294</v>
      </c>
      <c r="U56" s="95" t="s">
        <v>294</v>
      </c>
      <c r="V56" s="94"/>
      <c r="W56" s="99" t="s">
        <v>173</v>
      </c>
      <c r="X56" s="99"/>
      <c r="Y56" s="99">
        <v>2020.5</v>
      </c>
      <c r="Z56" s="99" t="s">
        <v>55</v>
      </c>
      <c r="AA56" s="95" t="s">
        <v>293</v>
      </c>
      <c r="AB56" s="99">
        <v>80</v>
      </c>
      <c r="AC56" s="99">
        <v>0.05</v>
      </c>
      <c r="AD56" s="99">
        <v>0.05</v>
      </c>
    </row>
    <row r="57" s="4" customFormat="1" ht="103" customHeight="1" spans="1:30">
      <c r="A57" s="43">
        <v>10</v>
      </c>
      <c r="B57" s="53" t="s">
        <v>295</v>
      </c>
      <c r="C57" s="49" t="s">
        <v>296</v>
      </c>
      <c r="D57" s="50" t="s">
        <v>297</v>
      </c>
      <c r="E57" s="33"/>
      <c r="F57" s="33">
        <f t="shared" si="5"/>
        <v>144.3</v>
      </c>
      <c r="G57" s="32">
        <v>93</v>
      </c>
      <c r="H57" s="33"/>
      <c r="I57" s="33">
        <v>51.3</v>
      </c>
      <c r="J57" s="33"/>
      <c r="K57" s="33"/>
      <c r="L57" s="32">
        <f>M57+N57+O57+P57+Q57</f>
        <v>135.3</v>
      </c>
      <c r="M57" s="33">
        <v>93</v>
      </c>
      <c r="N57" s="33"/>
      <c r="O57" s="33">
        <v>42.3</v>
      </c>
      <c r="P57" s="33"/>
      <c r="Q57" s="50"/>
      <c r="R57" s="105"/>
      <c r="S57" s="106"/>
      <c r="T57" s="92" t="s">
        <v>106</v>
      </c>
      <c r="U57" s="92" t="s">
        <v>106</v>
      </c>
      <c r="V57" s="94"/>
      <c r="W57" s="99" t="s">
        <v>173</v>
      </c>
      <c r="X57" s="93"/>
      <c r="Y57" s="98">
        <v>2020.4</v>
      </c>
      <c r="Z57" s="98">
        <v>2020.11</v>
      </c>
      <c r="AA57" s="94" t="s">
        <v>296</v>
      </c>
      <c r="AB57" s="98">
        <v>80</v>
      </c>
      <c r="AC57" s="98">
        <v>0.134</v>
      </c>
      <c r="AD57" s="98">
        <v>0.134</v>
      </c>
    </row>
    <row r="58" s="4" customFormat="1" ht="45" customHeight="1" spans="1:30">
      <c r="A58" s="25">
        <v>11</v>
      </c>
      <c r="B58" s="26" t="s">
        <v>298</v>
      </c>
      <c r="C58" s="29" t="s">
        <v>299</v>
      </c>
      <c r="D58" s="27" t="s">
        <v>297</v>
      </c>
      <c r="E58" s="27" t="s">
        <v>76</v>
      </c>
      <c r="F58" s="28">
        <f t="shared" ref="F58:F72" si="6">SUM(G58:K58)</f>
        <v>1.988</v>
      </c>
      <c r="G58" s="32">
        <v>0</v>
      </c>
      <c r="H58" s="33"/>
      <c r="I58" s="33"/>
      <c r="J58" s="28"/>
      <c r="K58" s="33">
        <f>2-0.012</f>
        <v>1.988</v>
      </c>
      <c r="L58" s="55">
        <f t="shared" ref="L58:L74" si="7">SUM(M58:Q58)</f>
        <v>1.988</v>
      </c>
      <c r="M58" s="28"/>
      <c r="N58" s="28"/>
      <c r="O58" s="28"/>
      <c r="P58" s="28"/>
      <c r="Q58" s="28">
        <v>1.988</v>
      </c>
      <c r="R58" s="82"/>
      <c r="S58" s="83"/>
      <c r="T58" s="85" t="s">
        <v>300</v>
      </c>
      <c r="U58" s="85" t="s">
        <v>300</v>
      </c>
      <c r="V58" s="82"/>
      <c r="W58" s="82"/>
      <c r="X58" s="66" t="s">
        <v>45</v>
      </c>
      <c r="Y58" s="82"/>
      <c r="Z58" s="82"/>
      <c r="AA58" s="117" t="s">
        <v>299</v>
      </c>
      <c r="AB58" s="87">
        <v>80</v>
      </c>
      <c r="AC58" s="82"/>
      <c r="AD58" s="82"/>
    </row>
    <row r="59" s="4" customFormat="1" ht="31" customHeight="1" spans="1:30">
      <c r="A59" s="25" t="s">
        <v>301</v>
      </c>
      <c r="B59" s="16" t="s">
        <v>302</v>
      </c>
      <c r="C59" s="15"/>
      <c r="D59" s="15"/>
      <c r="E59" s="15"/>
      <c r="F59" s="28">
        <f t="shared" si="6"/>
        <v>34.85</v>
      </c>
      <c r="G59" s="28">
        <f>SUM(G60:G60)</f>
        <v>0</v>
      </c>
      <c r="H59" s="28">
        <f>SUM(H60:H60)</f>
        <v>0</v>
      </c>
      <c r="I59" s="28">
        <f>SUM(I60:I60)</f>
        <v>0</v>
      </c>
      <c r="J59" s="28">
        <f>SUM(J60:J60)</f>
        <v>0</v>
      </c>
      <c r="K59" s="28">
        <f>SUM(K60:K60)</f>
        <v>34.85</v>
      </c>
      <c r="L59" s="55">
        <f t="shared" si="7"/>
        <v>34.85</v>
      </c>
      <c r="M59" s="28">
        <f>SUM(M60:M60)</f>
        <v>0</v>
      </c>
      <c r="N59" s="28">
        <f>SUM(N60:N60)</f>
        <v>0</v>
      </c>
      <c r="O59" s="28">
        <f>SUM(O60:O60)</f>
        <v>0</v>
      </c>
      <c r="P59" s="28">
        <f>SUM(P60:P60)</f>
        <v>0</v>
      </c>
      <c r="Q59" s="28">
        <f>SUM(Q60:Q60)</f>
        <v>34.85</v>
      </c>
      <c r="R59" s="82"/>
      <c r="S59" s="83"/>
      <c r="T59" s="82"/>
      <c r="U59" s="82"/>
      <c r="V59" s="82"/>
      <c r="W59" s="82"/>
      <c r="X59" s="82"/>
      <c r="Y59" s="82"/>
      <c r="Z59" s="82"/>
      <c r="AA59" s="82"/>
      <c r="AB59" s="87"/>
      <c r="AC59" s="82"/>
      <c r="AD59" s="82"/>
    </row>
    <row r="60" s="4" customFormat="1" ht="47" customHeight="1" spans="1:30">
      <c r="A60" s="25"/>
      <c r="B60" s="29" t="s">
        <v>303</v>
      </c>
      <c r="C60" s="29" t="s">
        <v>304</v>
      </c>
      <c r="D60" s="30" t="s">
        <v>305</v>
      </c>
      <c r="E60" s="27" t="s">
        <v>76</v>
      </c>
      <c r="F60" s="28">
        <f t="shared" si="6"/>
        <v>34.85</v>
      </c>
      <c r="G60" s="38">
        <v>0</v>
      </c>
      <c r="H60" s="28"/>
      <c r="I60" s="28"/>
      <c r="J60" s="28"/>
      <c r="K60" s="28">
        <f>35-0.15</f>
        <v>34.85</v>
      </c>
      <c r="L60" s="55">
        <f t="shared" si="7"/>
        <v>34.85</v>
      </c>
      <c r="M60" s="28"/>
      <c r="N60" s="28"/>
      <c r="O60" s="28"/>
      <c r="P60" s="28"/>
      <c r="Q60" s="28">
        <v>34.85</v>
      </c>
      <c r="R60" s="88" t="s">
        <v>306</v>
      </c>
      <c r="S60" s="88" t="s">
        <v>42</v>
      </c>
      <c r="T60" s="88" t="s">
        <v>307</v>
      </c>
      <c r="U60" s="88" t="s">
        <v>307</v>
      </c>
      <c r="V60" s="88"/>
      <c r="W60" s="88"/>
      <c r="X60" s="66" t="s">
        <v>45</v>
      </c>
      <c r="Y60" s="88" t="s">
        <v>308</v>
      </c>
      <c r="Z60" s="88" t="s">
        <v>309</v>
      </c>
      <c r="AA60" s="88" t="s">
        <v>310</v>
      </c>
      <c r="AB60" s="88">
        <v>80</v>
      </c>
      <c r="AC60" s="88">
        <v>0.0582</v>
      </c>
      <c r="AD60" s="88">
        <v>0.0582</v>
      </c>
    </row>
    <row r="61" s="4" customFormat="1" ht="35" customHeight="1" spans="1:30">
      <c r="A61" s="25" t="s">
        <v>311</v>
      </c>
      <c r="B61" s="16" t="s">
        <v>312</v>
      </c>
      <c r="C61" s="15"/>
      <c r="D61" s="15"/>
      <c r="E61" s="15"/>
      <c r="F61" s="28">
        <f t="shared" si="6"/>
        <v>50</v>
      </c>
      <c r="G61" s="28">
        <v>0</v>
      </c>
      <c r="H61" s="28">
        <v>0</v>
      </c>
      <c r="I61" s="28">
        <v>0</v>
      </c>
      <c r="J61" s="28">
        <f>J62</f>
        <v>0</v>
      </c>
      <c r="K61" s="28">
        <f>K62</f>
        <v>50</v>
      </c>
      <c r="L61" s="55">
        <f t="shared" si="7"/>
        <v>50</v>
      </c>
      <c r="M61" s="28">
        <f>SUM(M62:M62)</f>
        <v>0</v>
      </c>
      <c r="N61" s="28">
        <f>SUM(N62:N62)</f>
        <v>0</v>
      </c>
      <c r="O61" s="28">
        <f>SUM(O62:O62)</f>
        <v>0</v>
      </c>
      <c r="P61" s="28">
        <f>SUM(P62:P62)</f>
        <v>0</v>
      </c>
      <c r="Q61" s="28">
        <f>SUM(Q62:Q62)</f>
        <v>50</v>
      </c>
      <c r="R61" s="82"/>
      <c r="S61" s="83"/>
      <c r="T61" s="82"/>
      <c r="U61" s="82"/>
      <c r="V61" s="82"/>
      <c r="W61" s="82"/>
      <c r="X61" s="82"/>
      <c r="Y61" s="82"/>
      <c r="Z61" s="82"/>
      <c r="AA61" s="82"/>
      <c r="AB61" s="87"/>
      <c r="AC61" s="82"/>
      <c r="AD61" s="82"/>
    </row>
    <row r="62" s="4" customFormat="1" ht="65" customHeight="1" spans="1:30">
      <c r="A62" s="25"/>
      <c r="B62" s="29" t="s">
        <v>313</v>
      </c>
      <c r="C62" s="29" t="s">
        <v>314</v>
      </c>
      <c r="D62" s="27"/>
      <c r="E62" s="27" t="s">
        <v>76</v>
      </c>
      <c r="F62" s="28">
        <f t="shared" si="6"/>
        <v>50</v>
      </c>
      <c r="G62" s="38"/>
      <c r="H62" s="28"/>
      <c r="I62" s="28"/>
      <c r="J62" s="28"/>
      <c r="K62" s="38">
        <v>50</v>
      </c>
      <c r="L62" s="55">
        <f t="shared" si="7"/>
        <v>50</v>
      </c>
      <c r="M62" s="28"/>
      <c r="N62" s="28"/>
      <c r="O62" s="28"/>
      <c r="P62" s="28"/>
      <c r="Q62" s="28">
        <v>50</v>
      </c>
      <c r="R62" s="82"/>
      <c r="S62" s="83"/>
      <c r="T62" s="82" t="s">
        <v>266</v>
      </c>
      <c r="U62" s="82" t="s">
        <v>266</v>
      </c>
      <c r="V62" s="82"/>
      <c r="W62" s="82"/>
      <c r="X62" s="66" t="s">
        <v>45</v>
      </c>
      <c r="Y62" s="82"/>
      <c r="Z62" s="82"/>
      <c r="AA62" s="117" t="s">
        <v>314</v>
      </c>
      <c r="AB62" s="87"/>
      <c r="AC62" s="82">
        <v>0.0025</v>
      </c>
      <c r="AD62" s="82"/>
    </row>
    <row r="63" s="4" customFormat="1" ht="31" customHeight="1" spans="1:30">
      <c r="A63" s="25" t="s">
        <v>315</v>
      </c>
      <c r="B63" s="16" t="s">
        <v>316</v>
      </c>
      <c r="C63" s="15"/>
      <c r="D63" s="15"/>
      <c r="E63" s="15"/>
      <c r="F63" s="28">
        <f t="shared" si="6"/>
        <v>283</v>
      </c>
      <c r="G63" s="28">
        <f>G64</f>
        <v>283</v>
      </c>
      <c r="H63" s="28">
        <f>H64</f>
        <v>0</v>
      </c>
      <c r="I63" s="28">
        <f>I64</f>
        <v>0</v>
      </c>
      <c r="J63" s="28">
        <f>J64</f>
        <v>0</v>
      </c>
      <c r="K63" s="28">
        <f>K64</f>
        <v>0</v>
      </c>
      <c r="L63" s="55">
        <f t="shared" si="7"/>
        <v>283</v>
      </c>
      <c r="M63" s="28">
        <f>SUM(M64:M64)</f>
        <v>283</v>
      </c>
      <c r="N63" s="28">
        <f>SUM(N64:N64)</f>
        <v>0</v>
      </c>
      <c r="O63" s="28">
        <f>SUM(O64:O64)</f>
        <v>0</v>
      </c>
      <c r="P63" s="28">
        <f>SUM(P64:P64)</f>
        <v>0</v>
      </c>
      <c r="Q63" s="28">
        <f>SUM(Q64:Q64)</f>
        <v>0</v>
      </c>
      <c r="R63" s="83"/>
      <c r="S63" s="83"/>
      <c r="T63" s="82"/>
      <c r="U63" s="83"/>
      <c r="V63" s="83"/>
      <c r="W63" s="83"/>
      <c r="X63" s="83"/>
      <c r="Y63" s="83"/>
      <c r="Z63" s="83"/>
      <c r="AA63" s="83"/>
      <c r="AB63" s="83"/>
      <c r="AC63" s="83"/>
      <c r="AD63" s="83"/>
    </row>
    <row r="64" s="4" customFormat="1" ht="51" customHeight="1" spans="1:30">
      <c r="A64" s="25"/>
      <c r="B64" s="29" t="s">
        <v>317</v>
      </c>
      <c r="C64" s="29" t="s">
        <v>318</v>
      </c>
      <c r="D64" s="27" t="s">
        <v>319</v>
      </c>
      <c r="E64" s="27" t="s">
        <v>84</v>
      </c>
      <c r="F64" s="28">
        <f t="shared" si="6"/>
        <v>283</v>
      </c>
      <c r="G64" s="38">
        <f>268+15</f>
        <v>283</v>
      </c>
      <c r="H64" s="28"/>
      <c r="I64" s="28"/>
      <c r="J64" s="76"/>
      <c r="K64" s="38"/>
      <c r="L64" s="55">
        <f t="shared" si="7"/>
        <v>283</v>
      </c>
      <c r="M64" s="28">
        <v>283</v>
      </c>
      <c r="N64" s="28"/>
      <c r="O64" s="28"/>
      <c r="P64" s="28"/>
      <c r="Q64" s="28"/>
      <c r="R64" s="87" t="s">
        <v>320</v>
      </c>
      <c r="S64" s="88" t="s">
        <v>321</v>
      </c>
      <c r="T64" s="87" t="s">
        <v>134</v>
      </c>
      <c r="U64" s="87" t="s">
        <v>124</v>
      </c>
      <c r="V64" s="87"/>
      <c r="W64" s="87"/>
      <c r="X64" s="87" t="s">
        <v>23</v>
      </c>
      <c r="Y64" s="87" t="s">
        <v>322</v>
      </c>
      <c r="Z64" s="87" t="s">
        <v>323</v>
      </c>
      <c r="AA64" s="87" t="s">
        <v>324</v>
      </c>
      <c r="AB64" s="87">
        <v>80</v>
      </c>
      <c r="AC64" s="87">
        <v>0.1125</v>
      </c>
      <c r="AD64" s="87">
        <v>0.4728</v>
      </c>
    </row>
    <row r="65" s="4" customFormat="1" ht="35" customHeight="1" spans="1:30">
      <c r="A65" s="25" t="s">
        <v>325</v>
      </c>
      <c r="B65" s="16" t="s">
        <v>326</v>
      </c>
      <c r="C65" s="15"/>
      <c r="D65" s="15"/>
      <c r="E65" s="15"/>
      <c r="F65" s="28">
        <f t="shared" si="6"/>
        <v>13168.713404</v>
      </c>
      <c r="G65" s="28">
        <f>G66+G67+G75+G94+G113+G149+G153+G156</f>
        <v>5775.731544</v>
      </c>
      <c r="H65" s="28">
        <f>H66+H67+H75+H94+H113+H149+H153+H156</f>
        <v>195</v>
      </c>
      <c r="I65" s="28">
        <f>I66+I67+I75+I94+I113+I149+I153+I156</f>
        <v>2121.983</v>
      </c>
      <c r="J65" s="28">
        <f>J66+J67+J75+J94+J113+J149+J153+J156</f>
        <v>4137.51</v>
      </c>
      <c r="K65" s="28">
        <f>K66+K67+K75+K94+K113+K149+K153+K156</f>
        <v>938.48886</v>
      </c>
      <c r="L65" s="55">
        <f t="shared" si="7"/>
        <v>10880.932486</v>
      </c>
      <c r="M65" s="28">
        <f>M66+M75+M94+M113+M149+M153+M156+M67</f>
        <v>5520.196136</v>
      </c>
      <c r="N65" s="28">
        <f>N66+N75+N94+N113+N149+N153+N156+N67</f>
        <v>191.2253</v>
      </c>
      <c r="O65" s="28">
        <f>O66+O75+O94+O113+O149+O153+O156+O67</f>
        <v>1854.906029</v>
      </c>
      <c r="P65" s="28">
        <f>P66+P75+P94+P113+P149+P153+P156+P67</f>
        <v>2467.751315</v>
      </c>
      <c r="Q65" s="28">
        <f>Q66+Q75+Q94+Q113+Q149+Q153+Q156+Q67</f>
        <v>846.853706</v>
      </c>
      <c r="R65" s="82"/>
      <c r="S65" s="83"/>
      <c r="T65" s="82"/>
      <c r="U65" s="82"/>
      <c r="V65" s="82"/>
      <c r="W65" s="82"/>
      <c r="X65" s="82"/>
      <c r="Y65" s="82"/>
      <c r="Z65" s="82"/>
      <c r="AA65" s="82"/>
      <c r="AB65" s="87"/>
      <c r="AC65" s="82"/>
      <c r="AD65" s="82"/>
    </row>
    <row r="66" s="4" customFormat="1" ht="207" customHeight="1" spans="1:30">
      <c r="A66" s="25" t="s">
        <v>35</v>
      </c>
      <c r="B66" s="26" t="s">
        <v>327</v>
      </c>
      <c r="C66" s="29" t="s">
        <v>328</v>
      </c>
      <c r="D66" s="27" t="s">
        <v>305</v>
      </c>
      <c r="E66" s="27" t="s">
        <v>329</v>
      </c>
      <c r="F66" s="28">
        <f t="shared" si="6"/>
        <v>2807</v>
      </c>
      <c r="G66" s="38">
        <v>720</v>
      </c>
      <c r="H66" s="28"/>
      <c r="I66" s="28"/>
      <c r="J66" s="28">
        <v>2087</v>
      </c>
      <c r="K66" s="28"/>
      <c r="L66" s="55">
        <f t="shared" si="7"/>
        <v>1301.735</v>
      </c>
      <c r="M66" s="58">
        <v>581.93</v>
      </c>
      <c r="N66" s="58"/>
      <c r="O66" s="71"/>
      <c r="P66" s="71">
        <v>719.805</v>
      </c>
      <c r="Q66" s="71"/>
      <c r="R66" s="85" t="s">
        <v>330</v>
      </c>
      <c r="S66" s="66">
        <v>2020.04</v>
      </c>
      <c r="T66" s="85" t="s">
        <v>43</v>
      </c>
      <c r="U66" s="85" t="s">
        <v>43</v>
      </c>
      <c r="V66" s="85"/>
      <c r="W66" s="85" t="s">
        <v>173</v>
      </c>
      <c r="X66" s="85"/>
      <c r="Y66" s="85" t="s">
        <v>331</v>
      </c>
      <c r="Z66" s="85"/>
      <c r="AA66" s="85" t="s">
        <v>332</v>
      </c>
      <c r="AB66" s="85">
        <v>1</v>
      </c>
      <c r="AC66" s="85">
        <v>0.0278</v>
      </c>
      <c r="AD66" s="85">
        <v>0.1355</v>
      </c>
    </row>
    <row r="67" s="4" customFormat="1" ht="41" customHeight="1" spans="1:30">
      <c r="A67" s="25" t="s">
        <v>101</v>
      </c>
      <c r="B67" s="26" t="s">
        <v>333</v>
      </c>
      <c r="C67" s="27"/>
      <c r="D67" s="15"/>
      <c r="E67" s="15"/>
      <c r="F67" s="28">
        <f t="shared" si="6"/>
        <v>1987.596752</v>
      </c>
      <c r="G67" s="28">
        <f>SUM(G68:G74)</f>
        <v>864.1</v>
      </c>
      <c r="H67" s="28">
        <f>SUM(H68:H74)</f>
        <v>39</v>
      </c>
      <c r="I67" s="28">
        <f>SUM(I68:I74)</f>
        <v>148</v>
      </c>
      <c r="J67" s="28">
        <f>SUM(J68:J74)</f>
        <v>658.35</v>
      </c>
      <c r="K67" s="28">
        <f>SUM(K68:K74)</f>
        <v>278.146752</v>
      </c>
      <c r="L67" s="55">
        <f t="shared" si="7"/>
        <v>1774.415837</v>
      </c>
      <c r="M67" s="28">
        <f>SUM(M68:M74)</f>
        <v>838.52</v>
      </c>
      <c r="N67" s="28">
        <f>SUM(N68:N74)</f>
        <v>36.17</v>
      </c>
      <c r="O67" s="28">
        <f>SUM(O68:O74)</f>
        <v>38.8</v>
      </c>
      <c r="P67" s="28">
        <f>SUM(P68:P74)</f>
        <v>603.43</v>
      </c>
      <c r="Q67" s="28">
        <f>SUM(Q68:Q74)</f>
        <v>257.495837</v>
      </c>
      <c r="R67" s="82"/>
      <c r="S67" s="83"/>
      <c r="T67" s="66"/>
      <c r="U67" s="82"/>
      <c r="V67" s="82"/>
      <c r="W67" s="82"/>
      <c r="X67" s="82"/>
      <c r="Y67" s="82"/>
      <c r="Z67" s="82"/>
      <c r="AA67" s="82"/>
      <c r="AB67" s="87"/>
      <c r="AC67" s="82"/>
      <c r="AD67" s="82"/>
    </row>
    <row r="68" s="4" customFormat="1" ht="48" customHeight="1" spans="1:30">
      <c r="A68" s="25">
        <v>1</v>
      </c>
      <c r="B68" s="29" t="s">
        <v>334</v>
      </c>
      <c r="C68" s="29" t="s">
        <v>335</v>
      </c>
      <c r="D68" s="30" t="s">
        <v>305</v>
      </c>
      <c r="E68" s="30" t="s">
        <v>84</v>
      </c>
      <c r="F68" s="28">
        <f t="shared" si="6"/>
        <v>850</v>
      </c>
      <c r="G68" s="32">
        <v>850</v>
      </c>
      <c r="H68" s="33"/>
      <c r="I68" s="33"/>
      <c r="J68" s="28"/>
      <c r="K68" s="33"/>
      <c r="L68" s="55">
        <f t="shared" si="7"/>
        <v>824.42</v>
      </c>
      <c r="M68" s="28">
        <v>824.42</v>
      </c>
      <c r="N68" s="28"/>
      <c r="O68" s="28"/>
      <c r="P68" s="28"/>
      <c r="Q68" s="28"/>
      <c r="R68" s="140" t="s">
        <v>336</v>
      </c>
      <c r="S68" s="141" t="s">
        <v>337</v>
      </c>
      <c r="T68" s="66" t="s">
        <v>273</v>
      </c>
      <c r="U68" s="142" t="s">
        <v>338</v>
      </c>
      <c r="V68" s="143"/>
      <c r="W68" s="143"/>
      <c r="X68" s="66" t="s">
        <v>45</v>
      </c>
      <c r="Y68" s="149" t="s">
        <v>308</v>
      </c>
      <c r="Z68" s="149" t="s">
        <v>339</v>
      </c>
      <c r="AA68" s="142" t="s">
        <v>340</v>
      </c>
      <c r="AB68" s="150">
        <v>30</v>
      </c>
      <c r="AC68" s="149">
        <v>0.6927</v>
      </c>
      <c r="AD68" s="149">
        <v>2.39</v>
      </c>
    </row>
    <row r="69" s="4" customFormat="1" ht="86" customHeight="1" spans="1:30">
      <c r="A69" s="25">
        <v>2</v>
      </c>
      <c r="B69" s="26" t="s">
        <v>341</v>
      </c>
      <c r="C69" s="29" t="s">
        <v>342</v>
      </c>
      <c r="D69" s="30" t="s">
        <v>140</v>
      </c>
      <c r="E69" s="27" t="s">
        <v>343</v>
      </c>
      <c r="F69" s="28">
        <f t="shared" si="6"/>
        <v>926.896752</v>
      </c>
      <c r="G69" s="32"/>
      <c r="H69" s="33"/>
      <c r="I69" s="33"/>
      <c r="J69" s="28">
        <v>658.35</v>
      </c>
      <c r="K69" s="33">
        <f>270-1.453248</f>
        <v>268.546752</v>
      </c>
      <c r="L69" s="55">
        <f t="shared" si="7"/>
        <v>860.925837</v>
      </c>
      <c r="M69" s="28"/>
      <c r="N69" s="28"/>
      <c r="O69" s="28"/>
      <c r="P69" s="134">
        <v>603.43</v>
      </c>
      <c r="Q69" s="134">
        <v>257.495837</v>
      </c>
      <c r="R69" s="117" t="s">
        <v>344</v>
      </c>
      <c r="S69" s="117" t="s">
        <v>345</v>
      </c>
      <c r="T69" s="117" t="s">
        <v>273</v>
      </c>
      <c r="U69" s="117" t="s">
        <v>338</v>
      </c>
      <c r="V69" s="117"/>
      <c r="W69" s="117"/>
      <c r="X69" s="66" t="s">
        <v>45</v>
      </c>
      <c r="Y69" s="117" t="s">
        <v>346</v>
      </c>
      <c r="Z69" s="117" t="s">
        <v>347</v>
      </c>
      <c r="AA69" s="117" t="s">
        <v>348</v>
      </c>
      <c r="AB69" s="117">
        <v>73</v>
      </c>
      <c r="AC69" s="117">
        <v>2.45</v>
      </c>
      <c r="AD69" s="149">
        <v>11.02</v>
      </c>
    </row>
    <row r="70" s="4" customFormat="1" ht="132" customHeight="1" spans="1:30">
      <c r="A70" s="25">
        <v>3</v>
      </c>
      <c r="B70" s="26" t="s">
        <v>349</v>
      </c>
      <c r="C70" s="29" t="s">
        <v>350</v>
      </c>
      <c r="D70" s="30" t="s">
        <v>148</v>
      </c>
      <c r="E70" s="30" t="s">
        <v>84</v>
      </c>
      <c r="F70" s="28">
        <f t="shared" si="6"/>
        <v>40</v>
      </c>
      <c r="G70" s="32"/>
      <c r="H70" s="33"/>
      <c r="I70" s="33">
        <v>40</v>
      </c>
      <c r="J70" s="28"/>
      <c r="K70" s="33"/>
      <c r="L70" s="55">
        <f t="shared" si="7"/>
        <v>38.8</v>
      </c>
      <c r="M70" s="28"/>
      <c r="N70" s="28"/>
      <c r="O70" s="135">
        <v>38.8</v>
      </c>
      <c r="P70" s="135"/>
      <c r="Q70" s="135"/>
      <c r="R70" s="117" t="s">
        <v>351</v>
      </c>
      <c r="S70" s="117" t="s">
        <v>352</v>
      </c>
      <c r="T70" s="117" t="s">
        <v>273</v>
      </c>
      <c r="U70" s="117" t="s">
        <v>353</v>
      </c>
      <c r="V70" s="117"/>
      <c r="W70" s="117"/>
      <c r="X70" s="66" t="s">
        <v>45</v>
      </c>
      <c r="Y70" s="117" t="s">
        <v>242</v>
      </c>
      <c r="Z70" s="117" t="s">
        <v>354</v>
      </c>
      <c r="AA70" s="117" t="s">
        <v>355</v>
      </c>
      <c r="AB70" s="117">
        <v>18</v>
      </c>
      <c r="AC70" s="117">
        <v>0.0074</v>
      </c>
      <c r="AD70" s="142">
        <v>0.0325</v>
      </c>
    </row>
    <row r="71" s="4" customFormat="1" ht="102" customHeight="1" spans="1:30">
      <c r="A71" s="25">
        <v>4</v>
      </c>
      <c r="B71" s="26" t="s">
        <v>356</v>
      </c>
      <c r="C71" s="29" t="s">
        <v>357</v>
      </c>
      <c r="D71" s="30" t="s">
        <v>254</v>
      </c>
      <c r="E71" s="30" t="s">
        <v>84</v>
      </c>
      <c r="F71" s="28">
        <f t="shared" si="6"/>
        <v>24.5</v>
      </c>
      <c r="G71" s="32"/>
      <c r="H71" s="33">
        <v>24.5</v>
      </c>
      <c r="I71" s="33"/>
      <c r="J71" s="28"/>
      <c r="K71" s="33"/>
      <c r="L71" s="55">
        <f t="shared" si="7"/>
        <v>23.17</v>
      </c>
      <c r="M71" s="28"/>
      <c r="N71" s="136">
        <v>23.17</v>
      </c>
      <c r="O71" s="135"/>
      <c r="P71" s="135"/>
      <c r="Q71" s="135"/>
      <c r="R71" s="117" t="s">
        <v>358</v>
      </c>
      <c r="S71" s="117" t="s">
        <v>352</v>
      </c>
      <c r="T71" s="117" t="s">
        <v>273</v>
      </c>
      <c r="U71" s="117" t="s">
        <v>353</v>
      </c>
      <c r="V71" s="117"/>
      <c r="W71" s="117"/>
      <c r="X71" s="66" t="s">
        <v>45</v>
      </c>
      <c r="Y71" s="117" t="s">
        <v>242</v>
      </c>
      <c r="Z71" s="117" t="s">
        <v>354</v>
      </c>
      <c r="AA71" s="117" t="s">
        <v>359</v>
      </c>
      <c r="AB71" s="117">
        <v>9</v>
      </c>
      <c r="AC71" s="117"/>
      <c r="AD71" s="85"/>
    </row>
    <row r="72" s="4" customFormat="1" ht="167" customHeight="1" spans="1:30">
      <c r="A72" s="25">
        <v>5</v>
      </c>
      <c r="B72" s="26" t="s">
        <v>360</v>
      </c>
      <c r="C72" s="29" t="s">
        <v>361</v>
      </c>
      <c r="D72" s="30" t="s">
        <v>254</v>
      </c>
      <c r="E72" s="30" t="s">
        <v>84</v>
      </c>
      <c r="F72" s="28">
        <f t="shared" si="6"/>
        <v>28.6</v>
      </c>
      <c r="G72" s="32">
        <v>14.1</v>
      </c>
      <c r="H72" s="33">
        <v>14.5</v>
      </c>
      <c r="I72" s="33"/>
      <c r="J72" s="28"/>
      <c r="K72" s="33"/>
      <c r="L72" s="55">
        <f t="shared" si="7"/>
        <v>27.1</v>
      </c>
      <c r="M72" s="136">
        <v>14.1</v>
      </c>
      <c r="N72" s="136">
        <v>13</v>
      </c>
      <c r="O72" s="135"/>
      <c r="P72" s="135"/>
      <c r="Q72" s="135"/>
      <c r="R72" s="117" t="s">
        <v>362</v>
      </c>
      <c r="S72" s="117" t="s">
        <v>352</v>
      </c>
      <c r="T72" s="117" t="s">
        <v>273</v>
      </c>
      <c r="U72" s="117" t="s">
        <v>353</v>
      </c>
      <c r="V72" s="117"/>
      <c r="W72" s="117"/>
      <c r="X72" s="66" t="s">
        <v>45</v>
      </c>
      <c r="Y72" s="117" t="s">
        <v>242</v>
      </c>
      <c r="Z72" s="117" t="s">
        <v>354</v>
      </c>
      <c r="AA72" s="117" t="s">
        <v>363</v>
      </c>
      <c r="AB72" s="117">
        <v>8</v>
      </c>
      <c r="AC72" s="117">
        <f>212/10000</f>
        <v>0.0212</v>
      </c>
      <c r="AD72" s="142">
        <f>706/10000</f>
        <v>0.0706</v>
      </c>
    </row>
    <row r="73" s="4" customFormat="1" ht="184" customHeight="1" spans="1:30">
      <c r="A73" s="43">
        <v>6</v>
      </c>
      <c r="B73" s="53" t="s">
        <v>364</v>
      </c>
      <c r="C73" s="49" t="s">
        <v>365</v>
      </c>
      <c r="D73" s="36" t="s">
        <v>366</v>
      </c>
      <c r="E73" s="33">
        <f>F73+O73+P73</f>
        <v>108</v>
      </c>
      <c r="F73" s="33">
        <f>SUM(G73:N73)</f>
        <v>108</v>
      </c>
      <c r="G73" s="32"/>
      <c r="H73" s="33"/>
      <c r="I73" s="33">
        <v>108</v>
      </c>
      <c r="J73" s="33"/>
      <c r="K73" s="33"/>
      <c r="L73" s="55">
        <f t="shared" si="7"/>
        <v>0</v>
      </c>
      <c r="M73" s="33"/>
      <c r="N73" s="33"/>
      <c r="O73" s="33"/>
      <c r="P73" s="33"/>
      <c r="Q73" s="36"/>
      <c r="R73" s="92"/>
      <c r="S73" s="91"/>
      <c r="T73" s="91" t="s">
        <v>273</v>
      </c>
      <c r="U73" s="91" t="s">
        <v>273</v>
      </c>
      <c r="V73" s="94"/>
      <c r="W73" s="98" t="s">
        <v>173</v>
      </c>
      <c r="X73" s="98"/>
      <c r="Y73" s="98">
        <v>2020.8</v>
      </c>
      <c r="Z73" s="98">
        <v>20200.12</v>
      </c>
      <c r="AA73" s="94" t="s">
        <v>365</v>
      </c>
      <c r="AB73" s="98">
        <v>1</v>
      </c>
      <c r="AC73" s="98">
        <v>0.0052</v>
      </c>
      <c r="AD73" s="98"/>
    </row>
    <row r="74" s="4" customFormat="1" ht="65" customHeight="1" spans="1:30">
      <c r="A74" s="43">
        <v>7</v>
      </c>
      <c r="B74" s="49" t="s">
        <v>367</v>
      </c>
      <c r="C74" s="49" t="s">
        <v>368</v>
      </c>
      <c r="D74" s="36" t="s">
        <v>246</v>
      </c>
      <c r="E74" s="33">
        <f>F74+O74+P74</f>
        <v>9.6</v>
      </c>
      <c r="F74" s="33">
        <f>SUM(G74:N74)</f>
        <v>9.6</v>
      </c>
      <c r="G74" s="33"/>
      <c r="H74" s="32"/>
      <c r="I74" s="33"/>
      <c r="J74" s="33"/>
      <c r="K74" s="33">
        <v>9.6</v>
      </c>
      <c r="L74" s="55">
        <f t="shared" si="7"/>
        <v>0</v>
      </c>
      <c r="M74" s="33"/>
      <c r="N74" s="33"/>
      <c r="O74" s="33"/>
      <c r="P74" s="33"/>
      <c r="Q74" s="36"/>
      <c r="R74" s="92"/>
      <c r="S74" s="91"/>
      <c r="T74" s="91"/>
      <c r="U74" s="105"/>
      <c r="V74" s="94"/>
      <c r="W74" s="98" t="s">
        <v>173</v>
      </c>
      <c r="X74" s="93"/>
      <c r="Y74" s="98" t="s">
        <v>369</v>
      </c>
      <c r="Z74" s="98">
        <v>2020.11</v>
      </c>
      <c r="AA74" s="94" t="s">
        <v>368</v>
      </c>
      <c r="AB74" s="98">
        <v>3</v>
      </c>
      <c r="AC74" s="93"/>
      <c r="AD74" s="93"/>
    </row>
    <row r="75" s="4" customFormat="1" ht="41" customHeight="1" spans="1:30">
      <c r="A75" s="25" t="s">
        <v>111</v>
      </c>
      <c r="B75" s="26" t="s">
        <v>370</v>
      </c>
      <c r="C75" s="29"/>
      <c r="D75" s="15"/>
      <c r="E75" s="15"/>
      <c r="F75" s="28">
        <f t="shared" ref="F75:F98" si="8">SUM(G75:K75)</f>
        <v>4354.903344</v>
      </c>
      <c r="G75" s="28">
        <f>SUM(G76:G93)</f>
        <v>2286.590344</v>
      </c>
      <c r="H75" s="28">
        <f>SUM(H76:H93)</f>
        <v>116</v>
      </c>
      <c r="I75" s="28">
        <f>SUM(I76:I93)</f>
        <v>404.983</v>
      </c>
      <c r="J75" s="28">
        <f>SUM(J76:J93)</f>
        <v>1148.33</v>
      </c>
      <c r="K75" s="28">
        <f>SUM(K76:K93)</f>
        <v>399</v>
      </c>
      <c r="L75" s="55">
        <f t="shared" ref="L75:L102" si="9">SUM(M75:Q75)</f>
        <v>4060.486436</v>
      </c>
      <c r="M75" s="28">
        <f>SUM(M76:M93)</f>
        <v>2233.734936</v>
      </c>
      <c r="N75" s="28">
        <f>SUM(N76:N93)</f>
        <v>116</v>
      </c>
      <c r="O75" s="28">
        <f>SUM(O76:O93)</f>
        <v>404.983</v>
      </c>
      <c r="P75" s="28">
        <f>SUM(P76:P93)</f>
        <v>943.2685</v>
      </c>
      <c r="Q75" s="28">
        <f>SUM(Q76:Q93)</f>
        <v>362.5</v>
      </c>
      <c r="R75" s="82"/>
      <c r="S75" s="83"/>
      <c r="T75" s="85"/>
      <c r="U75" s="82"/>
      <c r="V75" s="82"/>
      <c r="W75" s="82"/>
      <c r="X75" s="82"/>
      <c r="Y75" s="82"/>
      <c r="Z75" s="82"/>
      <c r="AA75" s="82"/>
      <c r="AB75" s="87"/>
      <c r="AC75" s="82"/>
      <c r="AD75" s="82"/>
    </row>
    <row r="76" s="4" customFormat="1" ht="37" customHeight="1" spans="1:30">
      <c r="A76" s="25">
        <v>1</v>
      </c>
      <c r="B76" s="34" t="s">
        <v>371</v>
      </c>
      <c r="C76" s="34" t="s">
        <v>372</v>
      </c>
      <c r="D76" s="30" t="s">
        <v>91</v>
      </c>
      <c r="E76" s="30" t="s">
        <v>84</v>
      </c>
      <c r="F76" s="28">
        <f t="shared" si="8"/>
        <v>348.114</v>
      </c>
      <c r="G76" s="38">
        <v>348.114</v>
      </c>
      <c r="H76" s="121"/>
      <c r="I76" s="121"/>
      <c r="J76" s="76"/>
      <c r="K76" s="28"/>
      <c r="L76" s="55">
        <f t="shared" si="9"/>
        <v>341.67058</v>
      </c>
      <c r="M76" s="58">
        <v>341.67058</v>
      </c>
      <c r="N76" s="28"/>
      <c r="O76" s="28"/>
      <c r="P76" s="28"/>
      <c r="Q76" s="28"/>
      <c r="R76" s="66" t="s">
        <v>373</v>
      </c>
      <c r="S76" s="66" t="s">
        <v>374</v>
      </c>
      <c r="T76" s="85" t="s">
        <v>375</v>
      </c>
      <c r="U76" s="66" t="s">
        <v>376</v>
      </c>
      <c r="V76" s="66"/>
      <c r="W76" s="66"/>
      <c r="X76" s="66" t="s">
        <v>45</v>
      </c>
      <c r="Y76" s="66" t="s">
        <v>160</v>
      </c>
      <c r="Z76" s="66" t="s">
        <v>377</v>
      </c>
      <c r="AA76" s="66" t="s">
        <v>378</v>
      </c>
      <c r="AB76" s="66">
        <v>1</v>
      </c>
      <c r="AC76" s="66">
        <v>0.0055</v>
      </c>
      <c r="AD76" s="66">
        <f>AC76*5</f>
        <v>0.0275</v>
      </c>
    </row>
    <row r="77" s="4" customFormat="1" ht="40" customHeight="1" spans="1:30">
      <c r="A77" s="25">
        <v>2</v>
      </c>
      <c r="B77" s="34" t="s">
        <v>379</v>
      </c>
      <c r="C77" s="34" t="s">
        <v>380</v>
      </c>
      <c r="D77" s="30" t="s">
        <v>91</v>
      </c>
      <c r="E77" s="30" t="s">
        <v>84</v>
      </c>
      <c r="F77" s="28">
        <f t="shared" si="8"/>
        <v>273.9139</v>
      </c>
      <c r="G77" s="38">
        <v>273.9139</v>
      </c>
      <c r="H77" s="121"/>
      <c r="I77" s="121"/>
      <c r="J77" s="76"/>
      <c r="K77" s="28"/>
      <c r="L77" s="55">
        <f t="shared" si="9"/>
        <v>266.696483</v>
      </c>
      <c r="M77" s="58">
        <v>266.696483</v>
      </c>
      <c r="N77" s="28"/>
      <c r="O77" s="28"/>
      <c r="P77" s="28"/>
      <c r="Q77" s="28"/>
      <c r="R77" s="66" t="s">
        <v>373</v>
      </c>
      <c r="S77" s="66" t="s">
        <v>374</v>
      </c>
      <c r="T77" s="85" t="s">
        <v>375</v>
      </c>
      <c r="U77" s="66" t="s">
        <v>376</v>
      </c>
      <c r="V77" s="66"/>
      <c r="W77" s="66"/>
      <c r="X77" s="66" t="s">
        <v>45</v>
      </c>
      <c r="Y77" s="66" t="s">
        <v>160</v>
      </c>
      <c r="Z77" s="66" t="s">
        <v>377</v>
      </c>
      <c r="AA77" s="66" t="s">
        <v>378</v>
      </c>
      <c r="AB77" s="66">
        <v>1</v>
      </c>
      <c r="AC77" s="66">
        <v>0.006</v>
      </c>
      <c r="AD77" s="66">
        <v>0.031</v>
      </c>
    </row>
    <row r="78" s="4" customFormat="1" ht="40" customHeight="1" spans="1:30">
      <c r="A78" s="25">
        <v>3</v>
      </c>
      <c r="B78" s="34" t="s">
        <v>381</v>
      </c>
      <c r="C78" s="34" t="s">
        <v>382</v>
      </c>
      <c r="D78" s="30" t="s">
        <v>91</v>
      </c>
      <c r="E78" s="30" t="s">
        <v>84</v>
      </c>
      <c r="F78" s="28">
        <f t="shared" si="8"/>
        <v>307.7778</v>
      </c>
      <c r="G78" s="38">
        <v>307.7778</v>
      </c>
      <c r="H78" s="121"/>
      <c r="I78" s="121"/>
      <c r="J78" s="76"/>
      <c r="K78" s="28"/>
      <c r="L78" s="55">
        <f t="shared" si="9"/>
        <v>298.544466</v>
      </c>
      <c r="M78" s="58">
        <v>298.544466</v>
      </c>
      <c r="N78" s="28"/>
      <c r="O78" s="28"/>
      <c r="P78" s="28"/>
      <c r="Q78" s="28"/>
      <c r="R78" s="66" t="s">
        <v>373</v>
      </c>
      <c r="S78" s="66" t="s">
        <v>374</v>
      </c>
      <c r="T78" s="85" t="s">
        <v>375</v>
      </c>
      <c r="U78" s="66" t="s">
        <v>376</v>
      </c>
      <c r="V78" s="66"/>
      <c r="W78" s="66"/>
      <c r="X78" s="66" t="s">
        <v>45</v>
      </c>
      <c r="Y78" s="66" t="s">
        <v>160</v>
      </c>
      <c r="Z78" s="66" t="s">
        <v>377</v>
      </c>
      <c r="AA78" s="66" t="s">
        <v>378</v>
      </c>
      <c r="AB78" s="66">
        <v>1</v>
      </c>
      <c r="AC78" s="66">
        <v>0.0051</v>
      </c>
      <c r="AD78" s="66">
        <v>0.023</v>
      </c>
    </row>
    <row r="79" s="4" customFormat="1" ht="40" customHeight="1" spans="1:30">
      <c r="A79" s="25">
        <v>4</v>
      </c>
      <c r="B79" s="34" t="s">
        <v>383</v>
      </c>
      <c r="C79" s="34" t="s">
        <v>384</v>
      </c>
      <c r="D79" s="30" t="s">
        <v>91</v>
      </c>
      <c r="E79" s="30" t="s">
        <v>84</v>
      </c>
      <c r="F79" s="28">
        <f t="shared" si="8"/>
        <v>282.1227</v>
      </c>
      <c r="G79" s="38">
        <v>282.1227</v>
      </c>
      <c r="H79" s="121"/>
      <c r="I79" s="121"/>
      <c r="J79" s="76"/>
      <c r="K79" s="28"/>
      <c r="L79" s="55">
        <f t="shared" si="9"/>
        <v>279.659019</v>
      </c>
      <c r="M79" s="58">
        <v>279.659019</v>
      </c>
      <c r="N79" s="28"/>
      <c r="O79" s="28"/>
      <c r="P79" s="28"/>
      <c r="Q79" s="28"/>
      <c r="R79" s="66" t="s">
        <v>373</v>
      </c>
      <c r="S79" s="66" t="s">
        <v>374</v>
      </c>
      <c r="T79" s="85" t="s">
        <v>375</v>
      </c>
      <c r="U79" s="66" t="s">
        <v>376</v>
      </c>
      <c r="V79" s="66"/>
      <c r="W79" s="66"/>
      <c r="X79" s="66" t="s">
        <v>45</v>
      </c>
      <c r="Y79" s="66" t="s">
        <v>160</v>
      </c>
      <c r="Z79" s="66" t="s">
        <v>377</v>
      </c>
      <c r="AA79" s="66" t="s">
        <v>378</v>
      </c>
      <c r="AB79" s="66">
        <v>3</v>
      </c>
      <c r="AC79" s="66">
        <v>0.0183</v>
      </c>
      <c r="AD79" s="66">
        <v>0.0505</v>
      </c>
    </row>
    <row r="80" s="4" customFormat="1" ht="40" customHeight="1" spans="1:30">
      <c r="A80" s="25">
        <v>5</v>
      </c>
      <c r="B80" s="34" t="s">
        <v>385</v>
      </c>
      <c r="C80" s="34" t="s">
        <v>386</v>
      </c>
      <c r="D80" s="30" t="s">
        <v>91</v>
      </c>
      <c r="E80" s="30" t="s">
        <v>84</v>
      </c>
      <c r="F80" s="28">
        <f t="shared" si="8"/>
        <v>250.3616</v>
      </c>
      <c r="G80" s="38">
        <v>250.3616</v>
      </c>
      <c r="H80" s="121"/>
      <c r="I80" s="121"/>
      <c r="J80" s="76"/>
      <c r="K80" s="28"/>
      <c r="L80" s="55">
        <f t="shared" si="9"/>
        <v>245.850752</v>
      </c>
      <c r="M80" s="58">
        <v>245.850752</v>
      </c>
      <c r="N80" s="28"/>
      <c r="O80" s="28"/>
      <c r="P80" s="28"/>
      <c r="Q80" s="28"/>
      <c r="R80" s="66" t="s">
        <v>373</v>
      </c>
      <c r="S80" s="66" t="s">
        <v>374</v>
      </c>
      <c r="T80" s="85" t="s">
        <v>375</v>
      </c>
      <c r="U80" s="66" t="s">
        <v>376</v>
      </c>
      <c r="V80" s="66"/>
      <c r="W80" s="66"/>
      <c r="X80" s="66" t="s">
        <v>45</v>
      </c>
      <c r="Y80" s="66" t="s">
        <v>160</v>
      </c>
      <c r="Z80" s="66" t="s">
        <v>377</v>
      </c>
      <c r="AA80" s="66" t="s">
        <v>378</v>
      </c>
      <c r="AB80" s="66">
        <v>1</v>
      </c>
      <c r="AC80" s="66">
        <v>0.0035</v>
      </c>
      <c r="AD80" s="66">
        <v>0.0165</v>
      </c>
    </row>
    <row r="81" s="4" customFormat="1" ht="40" customHeight="1" spans="1:30">
      <c r="A81" s="25">
        <v>6</v>
      </c>
      <c r="B81" s="34" t="s">
        <v>387</v>
      </c>
      <c r="C81" s="34" t="s">
        <v>388</v>
      </c>
      <c r="D81" s="30" t="s">
        <v>91</v>
      </c>
      <c r="E81" s="30" t="s">
        <v>84</v>
      </c>
      <c r="F81" s="28">
        <f t="shared" si="8"/>
        <v>321.8613</v>
      </c>
      <c r="G81" s="38">
        <v>321.8613</v>
      </c>
      <c r="H81" s="121"/>
      <c r="I81" s="121"/>
      <c r="J81" s="76"/>
      <c r="K81" s="28"/>
      <c r="L81" s="55">
        <f t="shared" si="9"/>
        <v>319.205461</v>
      </c>
      <c r="M81" s="58">
        <v>319.205461</v>
      </c>
      <c r="N81" s="28"/>
      <c r="O81" s="28"/>
      <c r="P81" s="28"/>
      <c r="Q81" s="28"/>
      <c r="R81" s="66" t="s">
        <v>373</v>
      </c>
      <c r="S81" s="66" t="s">
        <v>374</v>
      </c>
      <c r="T81" s="85" t="s">
        <v>375</v>
      </c>
      <c r="U81" s="66" t="s">
        <v>376</v>
      </c>
      <c r="V81" s="66"/>
      <c r="W81" s="66"/>
      <c r="X81" s="66" t="s">
        <v>45</v>
      </c>
      <c r="Y81" s="66" t="s">
        <v>160</v>
      </c>
      <c r="Z81" s="66" t="s">
        <v>377</v>
      </c>
      <c r="AA81" s="66" t="s">
        <v>378</v>
      </c>
      <c r="AB81" s="66">
        <v>1</v>
      </c>
      <c r="AC81" s="66">
        <v>0.017</v>
      </c>
      <c r="AD81" s="66">
        <f>AC81*5</f>
        <v>0.085</v>
      </c>
    </row>
    <row r="82" s="4" customFormat="1" ht="40" customHeight="1" spans="1:30">
      <c r="A82" s="25">
        <v>7</v>
      </c>
      <c r="B82" s="34" t="s">
        <v>389</v>
      </c>
      <c r="C82" s="34" t="s">
        <v>390</v>
      </c>
      <c r="D82" s="30" t="s">
        <v>91</v>
      </c>
      <c r="E82" s="30" t="s">
        <v>84</v>
      </c>
      <c r="F82" s="28">
        <f t="shared" si="8"/>
        <v>70.651</v>
      </c>
      <c r="G82" s="38">
        <v>70.651</v>
      </c>
      <c r="H82" s="121"/>
      <c r="I82" s="121"/>
      <c r="J82" s="76"/>
      <c r="K82" s="28"/>
      <c r="L82" s="55">
        <f t="shared" si="9"/>
        <v>68.53147</v>
      </c>
      <c r="M82" s="58">
        <v>68.53147</v>
      </c>
      <c r="N82" s="28"/>
      <c r="O82" s="28"/>
      <c r="P82" s="28"/>
      <c r="Q82" s="28"/>
      <c r="R82" s="66" t="s">
        <v>373</v>
      </c>
      <c r="S82" s="66" t="s">
        <v>374</v>
      </c>
      <c r="T82" s="85" t="s">
        <v>375</v>
      </c>
      <c r="U82" s="66" t="s">
        <v>376</v>
      </c>
      <c r="V82" s="66"/>
      <c r="W82" s="66"/>
      <c r="X82" s="66" t="s">
        <v>45</v>
      </c>
      <c r="Y82" s="66" t="s">
        <v>160</v>
      </c>
      <c r="Z82" s="66" t="s">
        <v>377</v>
      </c>
      <c r="AA82" s="66" t="s">
        <v>378</v>
      </c>
      <c r="AB82" s="66">
        <v>1</v>
      </c>
      <c r="AC82" s="66">
        <v>0.0085</v>
      </c>
      <c r="AD82" s="66">
        <f>AC82*5</f>
        <v>0.0425</v>
      </c>
    </row>
    <row r="83" s="4" customFormat="1" ht="40" customHeight="1" spans="1:30">
      <c r="A83" s="25">
        <v>8</v>
      </c>
      <c r="B83" s="34" t="s">
        <v>391</v>
      </c>
      <c r="C83" s="34" t="s">
        <v>392</v>
      </c>
      <c r="D83" s="30" t="s">
        <v>91</v>
      </c>
      <c r="E83" s="30" t="s">
        <v>84</v>
      </c>
      <c r="F83" s="28">
        <f t="shared" si="8"/>
        <v>314.5121</v>
      </c>
      <c r="G83" s="38">
        <v>292.3265</v>
      </c>
      <c r="H83" s="121"/>
      <c r="I83" s="122">
        <v>22.1856</v>
      </c>
      <c r="J83" s="76"/>
      <c r="K83" s="28"/>
      <c r="L83" s="55">
        <f t="shared" si="9"/>
        <v>305.742305</v>
      </c>
      <c r="M83" s="58">
        <v>283.556705</v>
      </c>
      <c r="N83" s="28"/>
      <c r="O83" s="28">
        <v>22.1856</v>
      </c>
      <c r="P83" s="28"/>
      <c r="Q83" s="28"/>
      <c r="R83" s="66" t="s">
        <v>393</v>
      </c>
      <c r="S83" s="66" t="s">
        <v>308</v>
      </c>
      <c r="T83" s="85" t="s">
        <v>375</v>
      </c>
      <c r="U83" s="66" t="s">
        <v>376</v>
      </c>
      <c r="V83" s="66"/>
      <c r="W83" s="66"/>
      <c r="X83" s="66" t="s">
        <v>45</v>
      </c>
      <c r="Y83" s="66" t="s">
        <v>394</v>
      </c>
      <c r="Z83" s="66" t="s">
        <v>377</v>
      </c>
      <c r="AA83" s="66" t="s">
        <v>378</v>
      </c>
      <c r="AB83" s="66">
        <v>1</v>
      </c>
      <c r="AC83" s="66">
        <v>0.0051</v>
      </c>
      <c r="AD83" s="66">
        <v>0.023</v>
      </c>
    </row>
    <row r="84" s="4" customFormat="1" ht="40" customHeight="1" spans="1:30">
      <c r="A84" s="25">
        <v>9</v>
      </c>
      <c r="B84" s="34" t="s">
        <v>395</v>
      </c>
      <c r="C84" s="34" t="s">
        <v>396</v>
      </c>
      <c r="D84" s="30" t="s">
        <v>91</v>
      </c>
      <c r="E84" s="30" t="s">
        <v>397</v>
      </c>
      <c r="F84" s="28">
        <f t="shared" si="8"/>
        <v>494.9003</v>
      </c>
      <c r="G84" s="38">
        <v>0</v>
      </c>
      <c r="H84" s="121"/>
      <c r="I84" s="122"/>
      <c r="J84" s="72">
        <v>494.9003</v>
      </c>
      <c r="K84" s="28"/>
      <c r="L84" s="55">
        <f t="shared" si="9"/>
        <v>391.2685</v>
      </c>
      <c r="M84" s="58"/>
      <c r="N84" s="58"/>
      <c r="O84" s="65"/>
      <c r="P84" s="65">
        <v>391.2685</v>
      </c>
      <c r="Q84" s="65"/>
      <c r="R84" s="66" t="s">
        <v>398</v>
      </c>
      <c r="S84" s="66" t="s">
        <v>308</v>
      </c>
      <c r="T84" s="85" t="s">
        <v>375</v>
      </c>
      <c r="U84" s="66" t="s">
        <v>376</v>
      </c>
      <c r="V84" s="66"/>
      <c r="W84" s="66"/>
      <c r="X84" s="66" t="s">
        <v>45</v>
      </c>
      <c r="Y84" s="66" t="s">
        <v>394</v>
      </c>
      <c r="Z84" s="66" t="s">
        <v>377</v>
      </c>
      <c r="AA84" s="66" t="s">
        <v>378</v>
      </c>
      <c r="AB84" s="66">
        <v>1</v>
      </c>
      <c r="AC84" s="66">
        <v>0.006</v>
      </c>
      <c r="AD84" s="66">
        <v>0.031</v>
      </c>
    </row>
    <row r="85" s="4" customFormat="1" ht="40" customHeight="1" spans="1:30">
      <c r="A85" s="25">
        <v>10</v>
      </c>
      <c r="B85" s="34" t="s">
        <v>399</v>
      </c>
      <c r="C85" s="34" t="s">
        <v>400</v>
      </c>
      <c r="D85" s="30" t="s">
        <v>91</v>
      </c>
      <c r="E85" s="30" t="s">
        <v>397</v>
      </c>
      <c r="F85" s="28">
        <f t="shared" si="8"/>
        <v>281.9983</v>
      </c>
      <c r="G85" s="38">
        <v>0</v>
      </c>
      <c r="H85" s="121"/>
      <c r="I85" s="122"/>
      <c r="J85" s="72">
        <v>281.9983</v>
      </c>
      <c r="K85" s="28"/>
      <c r="L85" s="55">
        <f t="shared" si="9"/>
        <v>222</v>
      </c>
      <c r="M85" s="58"/>
      <c r="N85" s="58"/>
      <c r="O85" s="65"/>
      <c r="P85" s="65">
        <v>222</v>
      </c>
      <c r="Q85" s="65"/>
      <c r="R85" s="66" t="s">
        <v>398</v>
      </c>
      <c r="S85" s="66" t="s">
        <v>308</v>
      </c>
      <c r="T85" s="85" t="s">
        <v>375</v>
      </c>
      <c r="U85" s="66" t="s">
        <v>376</v>
      </c>
      <c r="V85" s="66"/>
      <c r="W85" s="66"/>
      <c r="X85" s="66" t="s">
        <v>45</v>
      </c>
      <c r="Y85" s="66" t="s">
        <v>394</v>
      </c>
      <c r="Z85" s="66" t="s">
        <v>377</v>
      </c>
      <c r="AA85" s="66" t="s">
        <v>378</v>
      </c>
      <c r="AB85" s="66">
        <v>1</v>
      </c>
      <c r="AC85" s="66">
        <v>0.0051</v>
      </c>
      <c r="AD85" s="66">
        <v>0.023</v>
      </c>
    </row>
    <row r="86" s="4" customFormat="1" ht="40" customHeight="1" spans="1:30">
      <c r="A86" s="25">
        <v>11</v>
      </c>
      <c r="B86" s="34" t="s">
        <v>401</v>
      </c>
      <c r="C86" s="34" t="s">
        <v>402</v>
      </c>
      <c r="D86" s="30" t="s">
        <v>91</v>
      </c>
      <c r="E86" s="30" t="s">
        <v>397</v>
      </c>
      <c r="F86" s="28">
        <f t="shared" si="8"/>
        <v>135.5694</v>
      </c>
      <c r="G86" s="38">
        <v>0</v>
      </c>
      <c r="H86" s="121"/>
      <c r="I86" s="122"/>
      <c r="J86" s="72">
        <v>135.5694</v>
      </c>
      <c r="K86" s="28"/>
      <c r="L86" s="55">
        <f t="shared" si="9"/>
        <v>106</v>
      </c>
      <c r="M86" s="58"/>
      <c r="N86" s="58"/>
      <c r="O86" s="65"/>
      <c r="P86" s="65">
        <v>106</v>
      </c>
      <c r="Q86" s="65"/>
      <c r="R86" s="66" t="s">
        <v>403</v>
      </c>
      <c r="S86" s="66" t="s">
        <v>404</v>
      </c>
      <c r="T86" s="85" t="s">
        <v>375</v>
      </c>
      <c r="U86" s="66" t="s">
        <v>376</v>
      </c>
      <c r="V86" s="66"/>
      <c r="W86" s="66"/>
      <c r="X86" s="66" t="s">
        <v>45</v>
      </c>
      <c r="Y86" s="66" t="s">
        <v>394</v>
      </c>
      <c r="Z86" s="66" t="s">
        <v>377</v>
      </c>
      <c r="AA86" s="66" t="s">
        <v>378</v>
      </c>
      <c r="AB86" s="66">
        <v>1</v>
      </c>
      <c r="AC86" s="66">
        <v>0.0051</v>
      </c>
      <c r="AD86" s="66">
        <v>0.023</v>
      </c>
    </row>
    <row r="87" s="4" customFormat="1" ht="40" customHeight="1" spans="1:30">
      <c r="A87" s="25">
        <v>12</v>
      </c>
      <c r="B87" s="34" t="s">
        <v>405</v>
      </c>
      <c r="C87" s="34" t="s">
        <v>406</v>
      </c>
      <c r="D87" s="30" t="s">
        <v>91</v>
      </c>
      <c r="E87" s="30" t="s">
        <v>407</v>
      </c>
      <c r="F87" s="28">
        <f t="shared" si="8"/>
        <v>281.116</v>
      </c>
      <c r="G87" s="38">
        <v>0</v>
      </c>
      <c r="H87" s="121"/>
      <c r="I87" s="122">
        <v>45.254</v>
      </c>
      <c r="J87" s="72">
        <f>229.862+6</f>
        <v>235.862</v>
      </c>
      <c r="K87" s="28"/>
      <c r="L87" s="55">
        <f t="shared" si="9"/>
        <v>269.254</v>
      </c>
      <c r="M87" s="58"/>
      <c r="N87" s="58"/>
      <c r="O87" s="65">
        <v>45.254</v>
      </c>
      <c r="P87" s="65">
        <v>224</v>
      </c>
      <c r="Q87" s="65"/>
      <c r="R87" s="66" t="s">
        <v>393</v>
      </c>
      <c r="S87" s="66" t="s">
        <v>308</v>
      </c>
      <c r="T87" s="85" t="s">
        <v>375</v>
      </c>
      <c r="U87" s="66" t="s">
        <v>376</v>
      </c>
      <c r="V87" s="66"/>
      <c r="W87" s="66"/>
      <c r="X87" s="66" t="s">
        <v>45</v>
      </c>
      <c r="Y87" s="66" t="s">
        <v>394</v>
      </c>
      <c r="Z87" s="66" t="s">
        <v>377</v>
      </c>
      <c r="AA87" s="66" t="s">
        <v>378</v>
      </c>
      <c r="AB87" s="66">
        <v>1</v>
      </c>
      <c r="AC87" s="66">
        <v>0.0085</v>
      </c>
      <c r="AD87" s="66">
        <f t="shared" ref="AD87:AD91" si="10">AC87*5</f>
        <v>0.0425</v>
      </c>
    </row>
    <row r="88" s="4" customFormat="1" ht="40" customHeight="1" spans="1:30">
      <c r="A88" s="25">
        <v>13</v>
      </c>
      <c r="B88" s="34" t="s">
        <v>408</v>
      </c>
      <c r="C88" s="34" t="s">
        <v>409</v>
      </c>
      <c r="D88" s="30" t="s">
        <v>91</v>
      </c>
      <c r="E88" s="30" t="s">
        <v>84</v>
      </c>
      <c r="F88" s="28">
        <f t="shared" si="8"/>
        <v>168.6015</v>
      </c>
      <c r="G88" s="38"/>
      <c r="H88" s="121">
        <v>116</v>
      </c>
      <c r="I88" s="122">
        <f>52.6015</f>
        <v>52.6015</v>
      </c>
      <c r="J88" s="72"/>
      <c r="K88" s="28"/>
      <c r="L88" s="55">
        <f t="shared" si="9"/>
        <v>168.6015</v>
      </c>
      <c r="M88" s="58"/>
      <c r="N88" s="58">
        <v>116</v>
      </c>
      <c r="O88" s="65">
        <v>52.6015</v>
      </c>
      <c r="P88" s="65"/>
      <c r="Q88" s="65"/>
      <c r="R88" s="66" t="s">
        <v>398</v>
      </c>
      <c r="S88" s="66" t="s">
        <v>308</v>
      </c>
      <c r="T88" s="85" t="s">
        <v>375</v>
      </c>
      <c r="U88" s="66" t="s">
        <v>376</v>
      </c>
      <c r="V88" s="66"/>
      <c r="W88" s="66"/>
      <c r="X88" s="66" t="s">
        <v>45</v>
      </c>
      <c r="Y88" s="66" t="s">
        <v>394</v>
      </c>
      <c r="Z88" s="66" t="s">
        <v>377</v>
      </c>
      <c r="AA88" s="66" t="s">
        <v>378</v>
      </c>
      <c r="AB88" s="66">
        <v>1</v>
      </c>
      <c r="AC88" s="66">
        <v>0.017</v>
      </c>
      <c r="AD88" s="66">
        <f t="shared" si="10"/>
        <v>0.085</v>
      </c>
    </row>
    <row r="89" s="4" customFormat="1" ht="40" customHeight="1" spans="1:30">
      <c r="A89" s="25">
        <v>14</v>
      </c>
      <c r="B89" s="34" t="s">
        <v>410</v>
      </c>
      <c r="C89" s="34" t="s">
        <v>411</v>
      </c>
      <c r="D89" s="30" t="s">
        <v>91</v>
      </c>
      <c r="E89" s="27" t="s">
        <v>76</v>
      </c>
      <c r="F89" s="28">
        <f t="shared" si="8"/>
        <v>293.5</v>
      </c>
      <c r="G89" s="38">
        <v>0</v>
      </c>
      <c r="H89" s="121"/>
      <c r="I89" s="121"/>
      <c r="J89" s="33"/>
      <c r="K89" s="121">
        <v>293.5</v>
      </c>
      <c r="L89" s="55">
        <f t="shared" si="9"/>
        <v>267</v>
      </c>
      <c r="M89" s="137"/>
      <c r="N89" s="137"/>
      <c r="O89" s="65"/>
      <c r="P89" s="65"/>
      <c r="Q89" s="65">
        <v>267</v>
      </c>
      <c r="R89" s="66" t="s">
        <v>393</v>
      </c>
      <c r="S89" s="66" t="s">
        <v>308</v>
      </c>
      <c r="T89" s="85" t="s">
        <v>375</v>
      </c>
      <c r="U89" s="66" t="s">
        <v>376</v>
      </c>
      <c r="V89" s="66"/>
      <c r="W89" s="66"/>
      <c r="X89" s="66" t="s">
        <v>23</v>
      </c>
      <c r="Y89" s="66" t="s">
        <v>394</v>
      </c>
      <c r="Z89" s="66" t="s">
        <v>377</v>
      </c>
      <c r="AA89" s="66" t="s">
        <v>378</v>
      </c>
      <c r="AB89" s="66">
        <v>1</v>
      </c>
      <c r="AC89" s="66">
        <v>0.0085</v>
      </c>
      <c r="AD89" s="66">
        <f t="shared" si="10"/>
        <v>0.0425</v>
      </c>
    </row>
    <row r="90" s="4" customFormat="1" ht="40" customHeight="1" spans="1:30">
      <c r="A90" s="25">
        <v>15</v>
      </c>
      <c r="B90" s="34" t="s">
        <v>412</v>
      </c>
      <c r="C90" s="34" t="s">
        <v>413</v>
      </c>
      <c r="D90" s="30" t="s">
        <v>91</v>
      </c>
      <c r="E90" s="27" t="s">
        <v>76</v>
      </c>
      <c r="F90" s="28">
        <f t="shared" si="8"/>
        <v>105.5</v>
      </c>
      <c r="G90" s="38">
        <v>0</v>
      </c>
      <c r="H90" s="121"/>
      <c r="I90" s="122"/>
      <c r="J90" s="72"/>
      <c r="K90" s="121">
        <v>105.5</v>
      </c>
      <c r="L90" s="55">
        <f t="shared" si="9"/>
        <v>95.5</v>
      </c>
      <c r="M90" s="137"/>
      <c r="N90" s="137"/>
      <c r="O90" s="65"/>
      <c r="P90" s="65"/>
      <c r="Q90" s="65">
        <v>95.5</v>
      </c>
      <c r="R90" s="66" t="s">
        <v>403</v>
      </c>
      <c r="S90" s="66" t="s">
        <v>404</v>
      </c>
      <c r="T90" s="85" t="s">
        <v>375</v>
      </c>
      <c r="U90" s="66" t="s">
        <v>376</v>
      </c>
      <c r="V90" s="66"/>
      <c r="W90" s="66"/>
      <c r="X90" s="66" t="s">
        <v>23</v>
      </c>
      <c r="Y90" s="66" t="s">
        <v>394</v>
      </c>
      <c r="Z90" s="66" t="s">
        <v>377</v>
      </c>
      <c r="AA90" s="66" t="s">
        <v>378</v>
      </c>
      <c r="AB90" s="66">
        <v>1</v>
      </c>
      <c r="AC90" s="66">
        <v>0.017</v>
      </c>
      <c r="AD90" s="66">
        <f t="shared" si="10"/>
        <v>0.085</v>
      </c>
    </row>
    <row r="91" s="4" customFormat="1" ht="40" customHeight="1" spans="1:30">
      <c r="A91" s="25">
        <v>16</v>
      </c>
      <c r="B91" s="34" t="s">
        <v>414</v>
      </c>
      <c r="C91" s="34" t="s">
        <v>415</v>
      </c>
      <c r="D91" s="30" t="s">
        <v>209</v>
      </c>
      <c r="E91" s="30" t="s">
        <v>84</v>
      </c>
      <c r="F91" s="28">
        <f t="shared" si="8"/>
        <v>152.117186</v>
      </c>
      <c r="G91" s="38">
        <v>67</v>
      </c>
      <c r="H91" s="121"/>
      <c r="I91" s="122">
        <f>130-44.882814</f>
        <v>85.117186</v>
      </c>
      <c r="J91" s="72"/>
      <c r="K91" s="121"/>
      <c r="L91" s="55">
        <f t="shared" si="9"/>
        <v>152.117186</v>
      </c>
      <c r="M91" s="137">
        <v>67</v>
      </c>
      <c r="N91" s="137"/>
      <c r="O91" s="65">
        <v>85.117186</v>
      </c>
      <c r="P91" s="65"/>
      <c r="Q91" s="65"/>
      <c r="R91" s="66" t="s">
        <v>403</v>
      </c>
      <c r="S91" s="66" t="s">
        <v>404</v>
      </c>
      <c r="T91" s="85" t="s">
        <v>375</v>
      </c>
      <c r="U91" s="66" t="s">
        <v>376</v>
      </c>
      <c r="V91" s="66"/>
      <c r="W91" s="66"/>
      <c r="X91" s="66" t="s">
        <v>23</v>
      </c>
      <c r="Y91" s="66" t="s">
        <v>394</v>
      </c>
      <c r="Z91" s="66" t="s">
        <v>377</v>
      </c>
      <c r="AA91" s="66" t="s">
        <v>378</v>
      </c>
      <c r="AB91" s="66">
        <v>1</v>
      </c>
      <c r="AC91" s="66">
        <v>0.0085</v>
      </c>
      <c r="AD91" s="66">
        <f t="shared" si="10"/>
        <v>0.0425</v>
      </c>
    </row>
    <row r="92" s="4" customFormat="1" ht="40" customHeight="1" spans="1:30">
      <c r="A92" s="25">
        <v>17</v>
      </c>
      <c r="B92" s="34" t="s">
        <v>416</v>
      </c>
      <c r="C92" s="34" t="s">
        <v>417</v>
      </c>
      <c r="D92" s="30" t="s">
        <v>91</v>
      </c>
      <c r="E92" s="30" t="s">
        <v>84</v>
      </c>
      <c r="F92" s="28">
        <f t="shared" si="8"/>
        <v>161.896258</v>
      </c>
      <c r="G92" s="38">
        <v>72.461544</v>
      </c>
      <c r="H92" s="122"/>
      <c r="I92" s="121">
        <f>43.7008+0.8511+44.882814</f>
        <v>89.434714</v>
      </c>
      <c r="J92" s="33"/>
      <c r="K92" s="28"/>
      <c r="L92" s="55">
        <f t="shared" si="9"/>
        <v>152.454714</v>
      </c>
      <c r="M92" s="58">
        <v>63.02</v>
      </c>
      <c r="N92" s="58"/>
      <c r="O92" s="65">
        <v>89.434714</v>
      </c>
      <c r="P92" s="65"/>
      <c r="Q92" s="65"/>
      <c r="R92" s="66" t="s">
        <v>403</v>
      </c>
      <c r="S92" s="66" t="s">
        <v>404</v>
      </c>
      <c r="T92" s="85" t="s">
        <v>375</v>
      </c>
      <c r="U92" s="66" t="s">
        <v>376</v>
      </c>
      <c r="V92" s="66"/>
      <c r="W92" s="66"/>
      <c r="X92" s="66" t="s">
        <v>23</v>
      </c>
      <c r="Y92" s="66" t="s">
        <v>394</v>
      </c>
      <c r="Z92" s="66" t="s">
        <v>377</v>
      </c>
      <c r="AA92" s="66" t="s">
        <v>378</v>
      </c>
      <c r="AB92" s="66">
        <v>1</v>
      </c>
      <c r="AC92" s="66">
        <v>0.0051</v>
      </c>
      <c r="AD92" s="66">
        <v>0.023</v>
      </c>
    </row>
    <row r="93" s="5" customFormat="1" ht="45" customHeight="1" spans="1:30">
      <c r="A93" s="25">
        <v>18</v>
      </c>
      <c r="B93" s="34" t="s">
        <v>418</v>
      </c>
      <c r="C93" s="29" t="s">
        <v>419</v>
      </c>
      <c r="D93" s="30" t="s">
        <v>83</v>
      </c>
      <c r="E93" s="30" t="s">
        <v>84</v>
      </c>
      <c r="F93" s="28">
        <f t="shared" si="8"/>
        <v>110.39</v>
      </c>
      <c r="G93" s="38"/>
      <c r="H93" s="28"/>
      <c r="I93" s="28">
        <f>93.99+11.4+20-15</f>
        <v>110.39</v>
      </c>
      <c r="J93" s="33"/>
      <c r="K93" s="28"/>
      <c r="L93" s="55">
        <f t="shared" si="9"/>
        <v>110.39</v>
      </c>
      <c r="M93" s="58"/>
      <c r="N93" s="58"/>
      <c r="O93" s="104">
        <v>110.39</v>
      </c>
      <c r="P93" s="138"/>
      <c r="Q93" s="138"/>
      <c r="R93" s="144" t="s">
        <v>420</v>
      </c>
      <c r="S93" s="66" t="s">
        <v>421</v>
      </c>
      <c r="T93" s="85" t="s">
        <v>375</v>
      </c>
      <c r="U93" s="66" t="s">
        <v>376</v>
      </c>
      <c r="V93" s="144"/>
      <c r="W93" s="144"/>
      <c r="X93" s="66" t="s">
        <v>45</v>
      </c>
      <c r="Y93" s="144" t="s">
        <v>422</v>
      </c>
      <c r="Z93" s="144"/>
      <c r="AA93" s="144" t="s">
        <v>423</v>
      </c>
      <c r="AB93" s="87">
        <v>80</v>
      </c>
      <c r="AC93" s="144">
        <v>0.0021</v>
      </c>
      <c r="AD93" s="144">
        <v>0.0082</v>
      </c>
    </row>
    <row r="94" s="4" customFormat="1" ht="50" customHeight="1" spans="1:30">
      <c r="A94" s="25" t="s">
        <v>424</v>
      </c>
      <c r="B94" s="26" t="s">
        <v>425</v>
      </c>
      <c r="C94" s="29" t="s">
        <v>426</v>
      </c>
      <c r="D94" s="15"/>
      <c r="E94" s="15"/>
      <c r="F94" s="28">
        <f t="shared" si="8"/>
        <v>614.3</v>
      </c>
      <c r="G94" s="28">
        <f>SUM(G95:G112)</f>
        <v>192.2</v>
      </c>
      <c r="H94" s="28">
        <f>SUM(H95:H112)</f>
        <v>29</v>
      </c>
      <c r="I94" s="28">
        <f>SUM(I95:I112)</f>
        <v>208.1</v>
      </c>
      <c r="J94" s="28">
        <f>SUM(J95:J112)</f>
        <v>185</v>
      </c>
      <c r="K94" s="28">
        <f>SUM(K95:K112)</f>
        <v>0</v>
      </c>
      <c r="L94" s="55">
        <f t="shared" si="9"/>
        <v>520.651053</v>
      </c>
      <c r="M94" s="28">
        <f>SUM(M95:M112)</f>
        <v>192.2</v>
      </c>
      <c r="N94" s="28">
        <f>SUM(N95:N112)</f>
        <v>28.0553</v>
      </c>
      <c r="O94" s="28">
        <f>SUM(O95:O112)</f>
        <v>146.456738</v>
      </c>
      <c r="P94" s="28">
        <f>SUM(P95:P112)</f>
        <v>153.939015</v>
      </c>
      <c r="Q94" s="28">
        <f>SUM(Q95:Q112)</f>
        <v>0</v>
      </c>
      <c r="R94" s="144"/>
      <c r="S94" s="66"/>
      <c r="T94" s="85"/>
      <c r="U94" s="144"/>
      <c r="V94" s="144"/>
      <c r="W94" s="85"/>
      <c r="X94" s="144"/>
      <c r="Y94" s="144"/>
      <c r="Z94" s="144"/>
      <c r="AA94" s="144"/>
      <c r="AB94" s="87"/>
      <c r="AC94" s="144"/>
      <c r="AD94" s="144"/>
    </row>
    <row r="95" s="4" customFormat="1" ht="38" customHeight="1" spans="1:30">
      <c r="A95" s="25">
        <v>1</v>
      </c>
      <c r="B95" s="34" t="s">
        <v>427</v>
      </c>
      <c r="C95" s="40" t="s">
        <v>428</v>
      </c>
      <c r="D95" s="30" t="s">
        <v>91</v>
      </c>
      <c r="E95" s="30" t="s">
        <v>84</v>
      </c>
      <c r="F95" s="28">
        <f t="shared" si="8"/>
        <v>18</v>
      </c>
      <c r="G95" s="38">
        <v>18</v>
      </c>
      <c r="H95" s="28"/>
      <c r="I95" s="28"/>
      <c r="J95" s="28"/>
      <c r="K95" s="28"/>
      <c r="L95" s="55">
        <f t="shared" si="9"/>
        <v>18</v>
      </c>
      <c r="M95" s="38">
        <v>18</v>
      </c>
      <c r="N95" s="28"/>
      <c r="O95" s="28"/>
      <c r="P95" s="28"/>
      <c r="Q95" s="28"/>
      <c r="R95" s="144" t="s">
        <v>429</v>
      </c>
      <c r="S95" s="66" t="s">
        <v>42</v>
      </c>
      <c r="T95" s="85" t="s">
        <v>106</v>
      </c>
      <c r="U95" s="85" t="s">
        <v>106</v>
      </c>
      <c r="V95" s="144"/>
      <c r="W95" s="85"/>
      <c r="X95" s="66" t="s">
        <v>45</v>
      </c>
      <c r="Y95" s="144" t="s">
        <v>430</v>
      </c>
      <c r="Z95" s="144" t="s">
        <v>431</v>
      </c>
      <c r="AA95" s="151" t="s">
        <v>432</v>
      </c>
      <c r="AB95" s="66">
        <v>1</v>
      </c>
      <c r="AC95" s="144">
        <v>0.0062</v>
      </c>
      <c r="AD95" s="144">
        <v>0.023</v>
      </c>
    </row>
    <row r="96" s="4" customFormat="1" ht="41" customHeight="1" spans="1:30">
      <c r="A96" s="25">
        <v>2</v>
      </c>
      <c r="B96" s="34" t="s">
        <v>433</v>
      </c>
      <c r="C96" s="34" t="s">
        <v>434</v>
      </c>
      <c r="D96" s="30" t="s">
        <v>91</v>
      </c>
      <c r="E96" s="30" t="s">
        <v>84</v>
      </c>
      <c r="F96" s="28">
        <f t="shared" si="8"/>
        <v>35</v>
      </c>
      <c r="G96" s="38">
        <v>35</v>
      </c>
      <c r="H96" s="28"/>
      <c r="I96" s="28"/>
      <c r="J96" s="28"/>
      <c r="K96" s="28"/>
      <c r="L96" s="55">
        <f t="shared" si="9"/>
        <v>35</v>
      </c>
      <c r="M96" s="38">
        <v>35</v>
      </c>
      <c r="N96" s="28"/>
      <c r="O96" s="28"/>
      <c r="P96" s="28"/>
      <c r="Q96" s="28"/>
      <c r="R96" s="144" t="s">
        <v>429</v>
      </c>
      <c r="S96" s="66" t="s">
        <v>42</v>
      </c>
      <c r="T96" s="85" t="s">
        <v>106</v>
      </c>
      <c r="U96" s="85" t="s">
        <v>106</v>
      </c>
      <c r="V96" s="85"/>
      <c r="W96" s="85"/>
      <c r="X96" s="66" t="s">
        <v>45</v>
      </c>
      <c r="Y96" s="144" t="s">
        <v>430</v>
      </c>
      <c r="Z96" s="144" t="s">
        <v>431</v>
      </c>
      <c r="AA96" s="151" t="s">
        <v>432</v>
      </c>
      <c r="AB96" s="85">
        <v>1</v>
      </c>
      <c r="AC96" s="85">
        <v>0.0018</v>
      </c>
      <c r="AD96" s="85">
        <v>0.0067</v>
      </c>
    </row>
    <row r="97" s="4" customFormat="1" ht="33" customHeight="1" spans="1:30">
      <c r="A97" s="25">
        <v>3</v>
      </c>
      <c r="B97" s="34" t="s">
        <v>435</v>
      </c>
      <c r="C97" s="34" t="s">
        <v>436</v>
      </c>
      <c r="D97" s="30" t="s">
        <v>91</v>
      </c>
      <c r="E97" s="30" t="s">
        <v>84</v>
      </c>
      <c r="F97" s="28">
        <f t="shared" si="8"/>
        <v>8</v>
      </c>
      <c r="G97" s="38">
        <v>8</v>
      </c>
      <c r="H97" s="28"/>
      <c r="I97" s="28"/>
      <c r="J97" s="28"/>
      <c r="K97" s="28"/>
      <c r="L97" s="55">
        <f t="shared" si="9"/>
        <v>8</v>
      </c>
      <c r="M97" s="38">
        <v>8</v>
      </c>
      <c r="N97" s="28"/>
      <c r="O97" s="28"/>
      <c r="P97" s="28"/>
      <c r="Q97" s="28"/>
      <c r="R97" s="144" t="s">
        <v>429</v>
      </c>
      <c r="S97" s="66" t="s">
        <v>42</v>
      </c>
      <c r="T97" s="85" t="s">
        <v>106</v>
      </c>
      <c r="U97" s="85" t="s">
        <v>106</v>
      </c>
      <c r="V97" s="85"/>
      <c r="W97" s="85"/>
      <c r="X97" s="66" t="s">
        <v>45</v>
      </c>
      <c r="Y97" s="144" t="s">
        <v>430</v>
      </c>
      <c r="Z97" s="144" t="s">
        <v>431</v>
      </c>
      <c r="AA97" s="151" t="s">
        <v>432</v>
      </c>
      <c r="AB97" s="85">
        <v>1</v>
      </c>
      <c r="AC97" s="85">
        <v>0.0118</v>
      </c>
      <c r="AD97" s="85">
        <v>0.0351</v>
      </c>
    </row>
    <row r="98" s="4" customFormat="1" ht="33" customHeight="1" spans="1:30">
      <c r="A98" s="25">
        <v>4</v>
      </c>
      <c r="B98" s="34" t="s">
        <v>437</v>
      </c>
      <c r="C98" s="40" t="s">
        <v>438</v>
      </c>
      <c r="D98" s="30" t="s">
        <v>91</v>
      </c>
      <c r="E98" s="30" t="s">
        <v>84</v>
      </c>
      <c r="F98" s="28">
        <f t="shared" si="8"/>
        <v>22</v>
      </c>
      <c r="G98" s="38">
        <v>22</v>
      </c>
      <c r="H98" s="28"/>
      <c r="I98" s="28"/>
      <c r="J98" s="28"/>
      <c r="K98" s="28"/>
      <c r="L98" s="55">
        <f t="shared" si="9"/>
        <v>22</v>
      </c>
      <c r="M98" s="38">
        <v>22</v>
      </c>
      <c r="N98" s="28"/>
      <c r="O98" s="28"/>
      <c r="P98" s="28"/>
      <c r="Q98" s="28"/>
      <c r="R98" s="144" t="s">
        <v>429</v>
      </c>
      <c r="S98" s="66" t="s">
        <v>42</v>
      </c>
      <c r="T98" s="85" t="s">
        <v>106</v>
      </c>
      <c r="U98" s="85" t="s">
        <v>106</v>
      </c>
      <c r="V98" s="144"/>
      <c r="W98" s="85"/>
      <c r="X98" s="66" t="s">
        <v>45</v>
      </c>
      <c r="Y98" s="144" t="s">
        <v>430</v>
      </c>
      <c r="Z98" s="144" t="s">
        <v>431</v>
      </c>
      <c r="AA98" s="151" t="s">
        <v>432</v>
      </c>
      <c r="AB98" s="66">
        <v>1</v>
      </c>
      <c r="AC98" s="144">
        <v>0.0021</v>
      </c>
      <c r="AD98" s="144">
        <v>0.0082</v>
      </c>
    </row>
    <row r="99" s="4" customFormat="1" ht="33" customHeight="1" spans="1:30">
      <c r="A99" s="43"/>
      <c r="B99" s="35" t="s">
        <v>439</v>
      </c>
      <c r="C99" s="123" t="s">
        <v>440</v>
      </c>
      <c r="D99" s="36" t="s">
        <v>246</v>
      </c>
      <c r="E99" s="30" t="s">
        <v>84</v>
      </c>
      <c r="F99" s="33">
        <f>SUM(G99:N99)</f>
        <v>19.7</v>
      </c>
      <c r="G99" s="33"/>
      <c r="H99" s="32"/>
      <c r="I99" s="33">
        <v>19.7</v>
      </c>
      <c r="J99" s="33"/>
      <c r="K99" s="33"/>
      <c r="L99" s="55">
        <f t="shared" si="9"/>
        <v>0</v>
      </c>
      <c r="M99" s="33"/>
      <c r="N99" s="33"/>
      <c r="O99" s="33"/>
      <c r="P99" s="33"/>
      <c r="Q99" s="90"/>
      <c r="R99" s="144" t="s">
        <v>429</v>
      </c>
      <c r="S99" s="91">
        <v>2020.1</v>
      </c>
      <c r="T99" s="92" t="s">
        <v>106</v>
      </c>
      <c r="U99" s="85" t="s">
        <v>106</v>
      </c>
      <c r="V99" s="94"/>
      <c r="W99" s="85" t="s">
        <v>173</v>
      </c>
      <c r="X99" s="66"/>
      <c r="Y99" s="9" t="s">
        <v>369</v>
      </c>
      <c r="Z99" s="9">
        <v>2020.11</v>
      </c>
      <c r="AA99" s="151" t="s">
        <v>432</v>
      </c>
      <c r="AB99" s="98">
        <v>1</v>
      </c>
      <c r="AC99" s="98"/>
      <c r="AD99" s="98"/>
    </row>
    <row r="100" s="4" customFormat="1" ht="33" customHeight="1" spans="1:30">
      <c r="A100" s="25">
        <v>5</v>
      </c>
      <c r="B100" s="34" t="s">
        <v>441</v>
      </c>
      <c r="C100" s="40" t="s">
        <v>442</v>
      </c>
      <c r="D100" s="30" t="s">
        <v>91</v>
      </c>
      <c r="E100" s="30" t="s">
        <v>84</v>
      </c>
      <c r="F100" s="28">
        <f t="shared" ref="F100:F121" si="11">SUM(G100:K100)</f>
        <v>35</v>
      </c>
      <c r="G100" s="38">
        <v>35</v>
      </c>
      <c r="H100" s="28"/>
      <c r="I100" s="28"/>
      <c r="J100" s="28"/>
      <c r="K100" s="28"/>
      <c r="L100" s="55">
        <f t="shared" si="9"/>
        <v>35</v>
      </c>
      <c r="M100" s="38">
        <v>35</v>
      </c>
      <c r="N100" s="28"/>
      <c r="O100" s="28"/>
      <c r="P100" s="28"/>
      <c r="Q100" s="28"/>
      <c r="R100" s="144" t="s">
        <v>429</v>
      </c>
      <c r="S100" s="66" t="s">
        <v>42</v>
      </c>
      <c r="T100" s="85" t="s">
        <v>106</v>
      </c>
      <c r="U100" s="85" t="s">
        <v>106</v>
      </c>
      <c r="V100" s="85"/>
      <c r="W100" s="85"/>
      <c r="X100" s="66" t="s">
        <v>45</v>
      </c>
      <c r="Y100" s="144" t="s">
        <v>430</v>
      </c>
      <c r="Z100" s="144" t="s">
        <v>431</v>
      </c>
      <c r="AA100" s="151" t="s">
        <v>432</v>
      </c>
      <c r="AB100" s="66">
        <v>1</v>
      </c>
      <c r="AC100" s="85">
        <v>0.0118</v>
      </c>
      <c r="AD100" s="85">
        <v>0.0351</v>
      </c>
    </row>
    <row r="101" s="4" customFormat="1" ht="33" customHeight="1" spans="1:30">
      <c r="A101" s="25">
        <v>6</v>
      </c>
      <c r="B101" s="34" t="s">
        <v>443</v>
      </c>
      <c r="C101" s="40" t="s">
        <v>444</v>
      </c>
      <c r="D101" s="30" t="s">
        <v>91</v>
      </c>
      <c r="E101" s="30" t="s">
        <v>84</v>
      </c>
      <c r="F101" s="28">
        <f t="shared" si="11"/>
        <v>10.6</v>
      </c>
      <c r="G101" s="38">
        <v>10.6</v>
      </c>
      <c r="H101" s="28"/>
      <c r="I101" s="28"/>
      <c r="J101" s="28"/>
      <c r="K101" s="28"/>
      <c r="L101" s="55">
        <f t="shared" si="9"/>
        <v>10.6</v>
      </c>
      <c r="M101" s="38">
        <v>10.6</v>
      </c>
      <c r="N101" s="28"/>
      <c r="O101" s="28"/>
      <c r="P101" s="28"/>
      <c r="Q101" s="28"/>
      <c r="R101" s="144" t="s">
        <v>429</v>
      </c>
      <c r="S101" s="66" t="s">
        <v>42</v>
      </c>
      <c r="T101" s="85" t="s">
        <v>106</v>
      </c>
      <c r="U101" s="85" t="s">
        <v>106</v>
      </c>
      <c r="V101" s="144"/>
      <c r="W101" s="85"/>
      <c r="X101" s="66" t="s">
        <v>45</v>
      </c>
      <c r="Y101" s="144" t="s">
        <v>430</v>
      </c>
      <c r="Z101" s="144" t="s">
        <v>431</v>
      </c>
      <c r="AA101" s="151" t="s">
        <v>432</v>
      </c>
      <c r="AB101" s="66">
        <v>1</v>
      </c>
      <c r="AC101" s="144">
        <v>0.0021</v>
      </c>
      <c r="AD101" s="144">
        <v>0.0082</v>
      </c>
    </row>
    <row r="102" s="4" customFormat="1" ht="28" customHeight="1" spans="1:30">
      <c r="A102" s="25">
        <v>7</v>
      </c>
      <c r="B102" s="34" t="s">
        <v>445</v>
      </c>
      <c r="C102" s="40" t="s">
        <v>446</v>
      </c>
      <c r="D102" s="30" t="s">
        <v>91</v>
      </c>
      <c r="E102" s="30" t="s">
        <v>84</v>
      </c>
      <c r="F102" s="28">
        <f t="shared" si="11"/>
        <v>16.5</v>
      </c>
      <c r="G102" s="38">
        <v>16.5</v>
      </c>
      <c r="H102" s="28"/>
      <c r="I102" s="28"/>
      <c r="J102" s="28"/>
      <c r="K102" s="28"/>
      <c r="L102" s="55">
        <f t="shared" si="9"/>
        <v>16.5</v>
      </c>
      <c r="M102" s="38">
        <v>16.5</v>
      </c>
      <c r="N102" s="28"/>
      <c r="O102" s="28"/>
      <c r="P102" s="28"/>
      <c r="Q102" s="28"/>
      <c r="R102" s="144" t="s">
        <v>429</v>
      </c>
      <c r="S102" s="66" t="s">
        <v>42</v>
      </c>
      <c r="T102" s="85" t="s">
        <v>106</v>
      </c>
      <c r="U102" s="85" t="s">
        <v>106</v>
      </c>
      <c r="V102" s="85"/>
      <c r="W102" s="85"/>
      <c r="X102" s="66" t="s">
        <v>45</v>
      </c>
      <c r="Y102" s="144" t="s">
        <v>430</v>
      </c>
      <c r="Z102" s="144" t="s">
        <v>431</v>
      </c>
      <c r="AA102" s="151" t="s">
        <v>432</v>
      </c>
      <c r="AB102" s="66">
        <v>1</v>
      </c>
      <c r="AC102" s="85">
        <v>0.0018</v>
      </c>
      <c r="AD102" s="85">
        <v>0.0067</v>
      </c>
    </row>
    <row r="103" s="4" customFormat="1" ht="28" customHeight="1" spans="1:30">
      <c r="A103" s="25">
        <v>8</v>
      </c>
      <c r="B103" s="34" t="s">
        <v>447</v>
      </c>
      <c r="C103" s="40" t="s">
        <v>448</v>
      </c>
      <c r="D103" s="30" t="s">
        <v>83</v>
      </c>
      <c r="E103" s="30" t="s">
        <v>84</v>
      </c>
      <c r="F103" s="28">
        <f t="shared" si="11"/>
        <v>12</v>
      </c>
      <c r="G103" s="38"/>
      <c r="H103" s="28"/>
      <c r="I103" s="28">
        <v>12</v>
      </c>
      <c r="J103" s="28"/>
      <c r="K103" s="28"/>
      <c r="L103" s="55">
        <f t="shared" ref="L103:L134" si="12">SUM(M103:Q103)</f>
        <v>11.593612</v>
      </c>
      <c r="M103" s="28"/>
      <c r="N103" s="28"/>
      <c r="O103" s="28">
        <v>11.593612</v>
      </c>
      <c r="P103" s="28"/>
      <c r="Q103" s="28"/>
      <c r="R103" s="144" t="s">
        <v>429</v>
      </c>
      <c r="S103" s="66" t="s">
        <v>42</v>
      </c>
      <c r="T103" s="85" t="s">
        <v>106</v>
      </c>
      <c r="U103" s="145"/>
      <c r="V103" s="85"/>
      <c r="W103" s="85"/>
      <c r="X103" s="66" t="s">
        <v>45</v>
      </c>
      <c r="Y103" s="144" t="s">
        <v>430</v>
      </c>
      <c r="Z103" s="144" t="s">
        <v>431</v>
      </c>
      <c r="AA103" s="85" t="s">
        <v>449</v>
      </c>
      <c r="AB103" s="66">
        <v>1</v>
      </c>
      <c r="AC103" s="85">
        <v>0.0118</v>
      </c>
      <c r="AD103" s="85">
        <v>0.0351</v>
      </c>
    </row>
    <row r="104" s="7" customFormat="1" ht="33" customHeight="1" spans="1:30">
      <c r="A104" s="124">
        <v>9</v>
      </c>
      <c r="B104" s="125" t="s">
        <v>450</v>
      </c>
      <c r="C104" s="126" t="s">
        <v>451</v>
      </c>
      <c r="D104" s="127" t="s">
        <v>75</v>
      </c>
      <c r="E104" s="127" t="s">
        <v>397</v>
      </c>
      <c r="F104" s="128">
        <f t="shared" si="11"/>
        <v>56</v>
      </c>
      <c r="G104" s="129"/>
      <c r="H104" s="128"/>
      <c r="I104" s="128"/>
      <c r="J104" s="33">
        <v>56</v>
      </c>
      <c r="K104" s="128"/>
      <c r="L104" s="139">
        <f t="shared" si="12"/>
        <v>54.286555</v>
      </c>
      <c r="M104" s="128"/>
      <c r="N104" s="128"/>
      <c r="O104" s="128"/>
      <c r="P104" s="128">
        <v>54.286555</v>
      </c>
      <c r="Q104" s="128"/>
      <c r="R104" s="144" t="s">
        <v>429</v>
      </c>
      <c r="S104" s="66" t="s">
        <v>42</v>
      </c>
      <c r="T104" s="85" t="s">
        <v>106</v>
      </c>
      <c r="U104" s="85" t="s">
        <v>106</v>
      </c>
      <c r="V104" s="85"/>
      <c r="W104" s="85"/>
      <c r="X104" s="66" t="s">
        <v>45</v>
      </c>
      <c r="Y104" s="144" t="s">
        <v>430</v>
      </c>
      <c r="Z104" s="144" t="s">
        <v>431</v>
      </c>
      <c r="AA104" s="151" t="s">
        <v>432</v>
      </c>
      <c r="AB104" s="66">
        <v>1</v>
      </c>
      <c r="AC104" s="85">
        <v>0.0118</v>
      </c>
      <c r="AD104" s="85">
        <v>0.0351</v>
      </c>
    </row>
    <row r="105" s="4" customFormat="1" ht="33" customHeight="1" spans="1:30">
      <c r="A105" s="25">
        <v>10</v>
      </c>
      <c r="B105" s="34" t="s">
        <v>452</v>
      </c>
      <c r="C105" s="40" t="s">
        <v>453</v>
      </c>
      <c r="D105" s="30" t="s">
        <v>75</v>
      </c>
      <c r="E105" s="30" t="s">
        <v>407</v>
      </c>
      <c r="F105" s="28">
        <f t="shared" si="11"/>
        <v>62.9</v>
      </c>
      <c r="G105" s="38">
        <f>34.1-20+10</f>
        <v>24.1</v>
      </c>
      <c r="H105" s="28"/>
      <c r="I105" s="28"/>
      <c r="J105" s="33">
        <f>78-59.2+20</f>
        <v>38.8</v>
      </c>
      <c r="K105" s="28"/>
      <c r="L105" s="55">
        <f t="shared" si="12"/>
        <v>60.939015</v>
      </c>
      <c r="M105" s="28">
        <f>14.1+10</f>
        <v>24.1</v>
      </c>
      <c r="N105" s="28"/>
      <c r="O105" s="28"/>
      <c r="P105" s="28">
        <v>36.839015</v>
      </c>
      <c r="Q105" s="28"/>
      <c r="R105" s="144" t="s">
        <v>429</v>
      </c>
      <c r="S105" s="66" t="s">
        <v>42</v>
      </c>
      <c r="T105" s="85" t="s">
        <v>106</v>
      </c>
      <c r="U105" s="85" t="s">
        <v>106</v>
      </c>
      <c r="V105" s="85"/>
      <c r="W105" s="85"/>
      <c r="X105" s="66" t="s">
        <v>45</v>
      </c>
      <c r="Y105" s="85" t="s">
        <v>430</v>
      </c>
      <c r="Z105" s="85" t="s">
        <v>454</v>
      </c>
      <c r="AA105" s="151" t="s">
        <v>432</v>
      </c>
      <c r="AB105" s="66">
        <v>1</v>
      </c>
      <c r="AC105" s="85">
        <v>0.0118</v>
      </c>
      <c r="AD105" s="85">
        <v>0.0351</v>
      </c>
    </row>
    <row r="106" s="4" customFormat="1" ht="33" customHeight="1" spans="1:30">
      <c r="A106" s="25">
        <v>11</v>
      </c>
      <c r="B106" s="34" t="s">
        <v>455</v>
      </c>
      <c r="C106" s="40" t="s">
        <v>456</v>
      </c>
      <c r="D106" s="30" t="s">
        <v>75</v>
      </c>
      <c r="E106" s="30" t="s">
        <v>407</v>
      </c>
      <c r="F106" s="28">
        <f t="shared" si="11"/>
        <v>59.2</v>
      </c>
      <c r="G106" s="38">
        <v>20</v>
      </c>
      <c r="H106" s="28"/>
      <c r="I106" s="28"/>
      <c r="J106" s="33">
        <v>39.2</v>
      </c>
      <c r="K106" s="28"/>
      <c r="L106" s="55">
        <f t="shared" si="12"/>
        <v>57.361945</v>
      </c>
      <c r="M106" s="28">
        <v>20</v>
      </c>
      <c r="N106" s="28"/>
      <c r="O106" s="28"/>
      <c r="P106" s="28">
        <v>37.361945</v>
      </c>
      <c r="Q106" s="28"/>
      <c r="R106" s="144" t="s">
        <v>429</v>
      </c>
      <c r="S106" s="66" t="s">
        <v>42</v>
      </c>
      <c r="T106" s="85" t="s">
        <v>106</v>
      </c>
      <c r="U106" s="85" t="s">
        <v>106</v>
      </c>
      <c r="V106" s="85"/>
      <c r="W106" s="85"/>
      <c r="X106" s="66" t="s">
        <v>45</v>
      </c>
      <c r="Y106" s="85" t="s">
        <v>430</v>
      </c>
      <c r="Z106" s="85" t="s">
        <v>454</v>
      </c>
      <c r="AA106" s="151" t="s">
        <v>432</v>
      </c>
      <c r="AB106" s="66">
        <v>1</v>
      </c>
      <c r="AC106" s="85">
        <v>0.0018</v>
      </c>
      <c r="AD106" s="85">
        <v>0.0067</v>
      </c>
    </row>
    <row r="107" s="4" customFormat="1" ht="45" customHeight="1" spans="1:30">
      <c r="A107" s="25">
        <v>12</v>
      </c>
      <c r="B107" s="34" t="s">
        <v>457</v>
      </c>
      <c r="C107" s="40" t="s">
        <v>458</v>
      </c>
      <c r="D107" s="30" t="s">
        <v>75</v>
      </c>
      <c r="E107" s="30" t="s">
        <v>84</v>
      </c>
      <c r="F107" s="28">
        <f t="shared" si="11"/>
        <v>29</v>
      </c>
      <c r="G107" s="38"/>
      <c r="H107" s="28">
        <v>29</v>
      </c>
      <c r="I107" s="28"/>
      <c r="J107" s="28"/>
      <c r="K107" s="28"/>
      <c r="L107" s="55">
        <f t="shared" si="12"/>
        <v>28.0553</v>
      </c>
      <c r="M107" s="28"/>
      <c r="N107" s="28">
        <v>28.0553</v>
      </c>
      <c r="O107" s="28"/>
      <c r="P107" s="28"/>
      <c r="Q107" s="28"/>
      <c r="R107" s="144" t="s">
        <v>429</v>
      </c>
      <c r="S107" s="66" t="s">
        <v>42</v>
      </c>
      <c r="T107" s="85" t="s">
        <v>106</v>
      </c>
      <c r="U107" s="85" t="s">
        <v>106</v>
      </c>
      <c r="V107" s="85"/>
      <c r="W107" s="85"/>
      <c r="X107" s="66" t="s">
        <v>45</v>
      </c>
      <c r="Y107" s="85"/>
      <c r="Z107" s="85"/>
      <c r="AA107" s="151" t="s">
        <v>432</v>
      </c>
      <c r="AB107" s="66">
        <v>1</v>
      </c>
      <c r="AC107" s="85">
        <v>0.0118</v>
      </c>
      <c r="AD107" s="85">
        <v>0.0351</v>
      </c>
    </row>
    <row r="108" s="4" customFormat="1" ht="45" customHeight="1" spans="1:30">
      <c r="A108" s="25">
        <v>13</v>
      </c>
      <c r="B108" s="34" t="s">
        <v>459</v>
      </c>
      <c r="C108" s="40" t="s">
        <v>460</v>
      </c>
      <c r="D108" s="30" t="s">
        <v>461</v>
      </c>
      <c r="E108" s="30" t="s">
        <v>84</v>
      </c>
      <c r="F108" s="28">
        <f t="shared" si="11"/>
        <v>45</v>
      </c>
      <c r="G108" s="38"/>
      <c r="H108" s="28"/>
      <c r="I108" s="28">
        <v>45</v>
      </c>
      <c r="J108" s="28"/>
      <c r="K108" s="28"/>
      <c r="L108" s="55">
        <f t="shared" si="12"/>
        <v>42.663126</v>
      </c>
      <c r="M108" s="28"/>
      <c r="N108" s="28"/>
      <c r="O108" s="28">
        <v>42.663126</v>
      </c>
      <c r="P108" s="28"/>
      <c r="Q108" s="28"/>
      <c r="R108" s="144" t="s">
        <v>429</v>
      </c>
      <c r="S108" s="66" t="s">
        <v>42</v>
      </c>
      <c r="T108" s="85" t="s">
        <v>106</v>
      </c>
      <c r="U108" s="85" t="s">
        <v>106</v>
      </c>
      <c r="V108" s="85"/>
      <c r="W108" s="85"/>
      <c r="X108" s="66" t="s">
        <v>45</v>
      </c>
      <c r="Y108" s="66"/>
      <c r="Z108" s="66"/>
      <c r="AA108" s="151" t="s">
        <v>432</v>
      </c>
      <c r="AB108" s="66">
        <v>1</v>
      </c>
      <c r="AC108" s="66">
        <v>0.0065</v>
      </c>
      <c r="AD108" s="66">
        <v>0.078</v>
      </c>
    </row>
    <row r="109" s="8" customFormat="1" ht="45" customHeight="1" spans="1:30">
      <c r="A109" s="25">
        <v>14</v>
      </c>
      <c r="B109" s="34" t="s">
        <v>462</v>
      </c>
      <c r="C109" s="40" t="s">
        <v>463</v>
      </c>
      <c r="D109" s="30" t="s">
        <v>461</v>
      </c>
      <c r="E109" s="30" t="s">
        <v>397</v>
      </c>
      <c r="F109" s="28">
        <f t="shared" si="11"/>
        <v>19</v>
      </c>
      <c r="G109" s="38">
        <v>3</v>
      </c>
      <c r="H109" s="28"/>
      <c r="I109" s="28"/>
      <c r="J109" s="28">
        <v>16</v>
      </c>
      <c r="K109" s="28"/>
      <c r="L109" s="55">
        <f t="shared" si="12"/>
        <v>10.9775</v>
      </c>
      <c r="M109" s="28">
        <v>3</v>
      </c>
      <c r="N109" s="28"/>
      <c r="O109" s="28"/>
      <c r="P109" s="28">
        <v>7.9775</v>
      </c>
      <c r="Q109" s="28"/>
      <c r="R109" s="144" t="s">
        <v>429</v>
      </c>
      <c r="S109" s="66" t="s">
        <v>42</v>
      </c>
      <c r="T109" s="85" t="s">
        <v>106</v>
      </c>
      <c r="U109" s="85" t="s">
        <v>106</v>
      </c>
      <c r="V109" s="85"/>
      <c r="W109" s="85" t="s">
        <v>173</v>
      </c>
      <c r="X109" s="66"/>
      <c r="Y109" s="85"/>
      <c r="Z109" s="85"/>
      <c r="AA109" s="151" t="s">
        <v>432</v>
      </c>
      <c r="AB109" s="66">
        <v>1</v>
      </c>
      <c r="AC109" s="85">
        <v>0.0018</v>
      </c>
      <c r="AD109" s="85">
        <v>0.006</v>
      </c>
    </row>
    <row r="110" s="8" customFormat="1" ht="45" customHeight="1" spans="1:30">
      <c r="A110" s="25">
        <v>15</v>
      </c>
      <c r="B110" s="34" t="s">
        <v>464</v>
      </c>
      <c r="C110" s="40" t="s">
        <v>456</v>
      </c>
      <c r="D110" s="30" t="s">
        <v>461</v>
      </c>
      <c r="E110" s="30" t="s">
        <v>397</v>
      </c>
      <c r="F110" s="28">
        <f t="shared" si="11"/>
        <v>35</v>
      </c>
      <c r="G110" s="38"/>
      <c r="H110" s="28"/>
      <c r="I110" s="28"/>
      <c r="J110" s="28">
        <v>35</v>
      </c>
      <c r="K110" s="28"/>
      <c r="L110" s="55">
        <f t="shared" si="12"/>
        <v>17.474</v>
      </c>
      <c r="M110" s="28"/>
      <c r="N110" s="28"/>
      <c r="O110" s="28"/>
      <c r="P110" s="28">
        <v>17.474</v>
      </c>
      <c r="Q110" s="28"/>
      <c r="R110" s="144" t="s">
        <v>429</v>
      </c>
      <c r="S110" s="66" t="s">
        <v>42</v>
      </c>
      <c r="T110" s="85" t="s">
        <v>106</v>
      </c>
      <c r="U110" s="85" t="s">
        <v>106</v>
      </c>
      <c r="V110" s="85"/>
      <c r="W110" s="85" t="s">
        <v>173</v>
      </c>
      <c r="X110" s="66"/>
      <c r="Y110" s="66"/>
      <c r="Z110" s="66"/>
      <c r="AA110" s="151" t="s">
        <v>432</v>
      </c>
      <c r="AB110" s="66">
        <v>1</v>
      </c>
      <c r="AC110" s="66">
        <v>0.003</v>
      </c>
      <c r="AD110" s="66">
        <v>0.009</v>
      </c>
    </row>
    <row r="111" s="4" customFormat="1" ht="45" customHeight="1" spans="1:30">
      <c r="A111" s="25">
        <v>16</v>
      </c>
      <c r="B111" s="34" t="s">
        <v>465</v>
      </c>
      <c r="C111" s="40" t="s">
        <v>466</v>
      </c>
      <c r="D111" s="30" t="s">
        <v>461</v>
      </c>
      <c r="E111" s="30" t="s">
        <v>84</v>
      </c>
      <c r="F111" s="28">
        <f t="shared" si="11"/>
        <v>36.4</v>
      </c>
      <c r="G111" s="38"/>
      <c r="H111" s="28"/>
      <c r="I111" s="28">
        <v>36.4</v>
      </c>
      <c r="J111" s="28"/>
      <c r="K111" s="28"/>
      <c r="L111" s="55">
        <f t="shared" si="12"/>
        <v>0</v>
      </c>
      <c r="M111" s="28"/>
      <c r="N111" s="28"/>
      <c r="O111" s="28"/>
      <c r="P111" s="28"/>
      <c r="Q111" s="28"/>
      <c r="R111" s="66"/>
      <c r="S111" s="66"/>
      <c r="T111" s="85" t="s">
        <v>467</v>
      </c>
      <c r="U111" s="85" t="s">
        <v>467</v>
      </c>
      <c r="V111" s="66"/>
      <c r="W111" s="85" t="s">
        <v>173</v>
      </c>
      <c r="X111" s="66"/>
      <c r="Y111" s="66"/>
      <c r="Z111" s="66"/>
      <c r="AA111" s="151" t="s">
        <v>432</v>
      </c>
      <c r="AB111" s="66">
        <v>2</v>
      </c>
      <c r="AC111" s="66">
        <v>0.0615</v>
      </c>
      <c r="AD111" s="66">
        <v>0.18</v>
      </c>
    </row>
    <row r="112" s="4" customFormat="1" ht="45" customHeight="1" spans="1:30">
      <c r="A112" s="25">
        <v>17</v>
      </c>
      <c r="B112" s="34" t="s">
        <v>468</v>
      </c>
      <c r="C112" s="40" t="s">
        <v>469</v>
      </c>
      <c r="D112" s="30" t="s">
        <v>470</v>
      </c>
      <c r="E112" s="30" t="s">
        <v>84</v>
      </c>
      <c r="F112" s="28">
        <f t="shared" si="11"/>
        <v>95</v>
      </c>
      <c r="G112" s="38"/>
      <c r="H112" s="28"/>
      <c r="I112" s="28">
        <f>80+15</f>
        <v>95</v>
      </c>
      <c r="J112" s="28"/>
      <c r="K112" s="28"/>
      <c r="L112" s="55">
        <f t="shared" si="12"/>
        <v>92.2</v>
      </c>
      <c r="M112" s="28"/>
      <c r="N112" s="28"/>
      <c r="O112" s="28">
        <v>92.2</v>
      </c>
      <c r="P112" s="28"/>
      <c r="Q112" s="28"/>
      <c r="R112" s="66"/>
      <c r="S112" s="66"/>
      <c r="T112" s="85" t="s">
        <v>467</v>
      </c>
      <c r="U112" s="85" t="s">
        <v>467</v>
      </c>
      <c r="V112" s="66"/>
      <c r="W112" s="85"/>
      <c r="X112" s="66" t="s">
        <v>45</v>
      </c>
      <c r="Y112" s="66"/>
      <c r="Z112" s="66"/>
      <c r="AA112" s="151" t="s">
        <v>432</v>
      </c>
      <c r="AB112" s="66">
        <v>1</v>
      </c>
      <c r="AC112" s="66">
        <v>0.0085</v>
      </c>
      <c r="AD112" s="66">
        <f>AC112*5</f>
        <v>0.0425</v>
      </c>
    </row>
    <row r="113" s="4" customFormat="1" ht="49" customHeight="1" spans="1:30">
      <c r="A113" s="25" t="s">
        <v>119</v>
      </c>
      <c r="B113" s="34" t="s">
        <v>471</v>
      </c>
      <c r="C113" s="40" t="s">
        <v>426</v>
      </c>
      <c r="D113" s="30"/>
      <c r="E113" s="30"/>
      <c r="F113" s="28">
        <f t="shared" si="11"/>
        <v>1318.013308</v>
      </c>
      <c r="G113" s="28">
        <f>SUM(G114:G148)</f>
        <v>912.8412</v>
      </c>
      <c r="H113" s="28">
        <f>SUM(H114:H148)</f>
        <v>11</v>
      </c>
      <c r="I113" s="28">
        <f>SUM(I114:I148)</f>
        <v>74</v>
      </c>
      <c r="J113" s="28">
        <f>SUM(J114:J148)</f>
        <v>58.83</v>
      </c>
      <c r="K113" s="28">
        <f>SUM(K114:K148)</f>
        <v>261.342108</v>
      </c>
      <c r="L113" s="55">
        <f t="shared" si="12"/>
        <v>1262.91696</v>
      </c>
      <c r="M113" s="28">
        <f>SUM(M114:M148)</f>
        <v>906.8412</v>
      </c>
      <c r="N113" s="28">
        <f>SUM(N114:N148)</f>
        <v>11</v>
      </c>
      <c r="O113" s="28">
        <f>SUM(O114:O148)</f>
        <v>70.909091</v>
      </c>
      <c r="P113" s="28">
        <f>SUM(P114:P148)</f>
        <v>47.3088</v>
      </c>
      <c r="Q113" s="28">
        <f>SUM(Q114:Q148)</f>
        <v>226.857869</v>
      </c>
      <c r="R113" s="84"/>
      <c r="S113" s="84"/>
      <c r="T113" s="85"/>
      <c r="U113" s="84"/>
      <c r="V113" s="84"/>
      <c r="W113" s="84"/>
      <c r="X113" s="84"/>
      <c r="Y113" s="84"/>
      <c r="Z113" s="84"/>
      <c r="AA113" s="84"/>
      <c r="AB113" s="152"/>
      <c r="AC113" s="84"/>
      <c r="AD113" s="84"/>
    </row>
    <row r="114" s="4" customFormat="1" ht="35" customHeight="1" spans="1:30">
      <c r="A114" s="25">
        <v>1</v>
      </c>
      <c r="B114" s="41" t="s">
        <v>472</v>
      </c>
      <c r="C114" s="41" t="s">
        <v>473</v>
      </c>
      <c r="D114" s="30" t="s">
        <v>91</v>
      </c>
      <c r="E114" s="30" t="s">
        <v>84</v>
      </c>
      <c r="F114" s="28">
        <f t="shared" si="11"/>
        <v>35</v>
      </c>
      <c r="G114" s="38">
        <v>35</v>
      </c>
      <c r="H114" s="121"/>
      <c r="I114" s="121"/>
      <c r="J114" s="28"/>
      <c r="K114" s="28"/>
      <c r="L114" s="55">
        <f t="shared" si="12"/>
        <v>35</v>
      </c>
      <c r="M114" s="38">
        <v>35</v>
      </c>
      <c r="N114" s="28"/>
      <c r="O114" s="28"/>
      <c r="P114" s="28"/>
      <c r="Q114" s="28"/>
      <c r="R114" s="144" t="s">
        <v>429</v>
      </c>
      <c r="S114" s="66" t="s">
        <v>42</v>
      </c>
      <c r="T114" s="85" t="s">
        <v>106</v>
      </c>
      <c r="U114" s="92" t="s">
        <v>106</v>
      </c>
      <c r="V114" s="66"/>
      <c r="W114" s="85"/>
      <c r="X114" s="66" t="s">
        <v>45</v>
      </c>
      <c r="Y114" s="144" t="s">
        <v>430</v>
      </c>
      <c r="Z114" s="144" t="s">
        <v>431</v>
      </c>
      <c r="AA114" s="151" t="s">
        <v>432</v>
      </c>
      <c r="AB114" s="66">
        <v>1</v>
      </c>
      <c r="AC114" s="66">
        <v>0.006</v>
      </c>
      <c r="AD114" s="66">
        <v>0.018</v>
      </c>
    </row>
    <row r="115" s="4" customFormat="1" ht="35" customHeight="1" spans="1:30">
      <c r="A115" s="25">
        <v>2</v>
      </c>
      <c r="B115" s="41" t="s">
        <v>474</v>
      </c>
      <c r="C115" s="41" t="s">
        <v>475</v>
      </c>
      <c r="D115" s="30" t="s">
        <v>91</v>
      </c>
      <c r="E115" s="30" t="s">
        <v>84</v>
      </c>
      <c r="F115" s="28">
        <f t="shared" si="11"/>
        <v>46.2712</v>
      </c>
      <c r="G115" s="38">
        <v>46.2712</v>
      </c>
      <c r="H115" s="121"/>
      <c r="I115" s="121"/>
      <c r="J115" s="28"/>
      <c r="K115" s="28"/>
      <c r="L115" s="55">
        <f t="shared" si="12"/>
        <v>46.2712</v>
      </c>
      <c r="M115" s="38">
        <v>46.2712</v>
      </c>
      <c r="N115" s="28"/>
      <c r="O115" s="28"/>
      <c r="P115" s="28"/>
      <c r="Q115" s="28"/>
      <c r="R115" s="144" t="s">
        <v>429</v>
      </c>
      <c r="S115" s="66" t="s">
        <v>42</v>
      </c>
      <c r="T115" s="85" t="s">
        <v>106</v>
      </c>
      <c r="U115" s="92" t="s">
        <v>106</v>
      </c>
      <c r="V115" s="66"/>
      <c r="W115" s="66"/>
      <c r="X115" s="66" t="s">
        <v>45</v>
      </c>
      <c r="Y115" s="144" t="s">
        <v>430</v>
      </c>
      <c r="Z115" s="144" t="s">
        <v>431</v>
      </c>
      <c r="AA115" s="151" t="s">
        <v>432</v>
      </c>
      <c r="AB115" s="66">
        <v>1</v>
      </c>
      <c r="AC115" s="66">
        <v>0.014</v>
      </c>
      <c r="AD115" s="66">
        <v>0.06</v>
      </c>
    </row>
    <row r="116" s="4" customFormat="1" ht="35" customHeight="1" spans="1:30">
      <c r="A116" s="25">
        <v>3</v>
      </c>
      <c r="B116" s="41" t="s">
        <v>476</v>
      </c>
      <c r="C116" s="41" t="s">
        <v>477</v>
      </c>
      <c r="D116" s="30" t="s">
        <v>91</v>
      </c>
      <c r="E116" s="30" t="s">
        <v>84</v>
      </c>
      <c r="F116" s="28">
        <f t="shared" si="11"/>
        <v>50</v>
      </c>
      <c r="G116" s="38">
        <v>50</v>
      </c>
      <c r="H116" s="130"/>
      <c r="I116" s="130"/>
      <c r="J116" s="28"/>
      <c r="K116" s="28"/>
      <c r="L116" s="55">
        <f t="shared" si="12"/>
        <v>50</v>
      </c>
      <c r="M116" s="38">
        <v>50</v>
      </c>
      <c r="N116" s="28"/>
      <c r="O116" s="28"/>
      <c r="P116" s="28"/>
      <c r="Q116" s="28"/>
      <c r="R116" s="144" t="s">
        <v>429</v>
      </c>
      <c r="S116" s="66" t="s">
        <v>42</v>
      </c>
      <c r="T116" s="85" t="s">
        <v>106</v>
      </c>
      <c r="U116" s="92" t="s">
        <v>106</v>
      </c>
      <c r="V116" s="66"/>
      <c r="W116" s="66"/>
      <c r="X116" s="66" t="s">
        <v>45</v>
      </c>
      <c r="Y116" s="144" t="s">
        <v>430</v>
      </c>
      <c r="Z116" s="144" t="s">
        <v>431</v>
      </c>
      <c r="AA116" s="151" t="s">
        <v>432</v>
      </c>
      <c r="AB116" s="66">
        <v>1</v>
      </c>
      <c r="AC116" s="66">
        <v>0.0222</v>
      </c>
      <c r="AD116" s="66">
        <v>0.0824</v>
      </c>
    </row>
    <row r="117" s="4" customFormat="1" ht="35" customHeight="1" spans="1:30">
      <c r="A117" s="25">
        <v>4</v>
      </c>
      <c r="B117" s="41" t="s">
        <v>478</v>
      </c>
      <c r="C117" s="41" t="s">
        <v>479</v>
      </c>
      <c r="D117" s="30" t="s">
        <v>91</v>
      </c>
      <c r="E117" s="30" t="s">
        <v>84</v>
      </c>
      <c r="F117" s="28">
        <f t="shared" si="11"/>
        <v>35</v>
      </c>
      <c r="G117" s="38">
        <v>35</v>
      </c>
      <c r="H117" s="121"/>
      <c r="I117" s="121"/>
      <c r="J117" s="28"/>
      <c r="K117" s="28"/>
      <c r="L117" s="55">
        <f t="shared" si="12"/>
        <v>35</v>
      </c>
      <c r="M117" s="38">
        <v>35</v>
      </c>
      <c r="N117" s="28"/>
      <c r="O117" s="28"/>
      <c r="P117" s="28"/>
      <c r="Q117" s="28"/>
      <c r="R117" s="144" t="s">
        <v>429</v>
      </c>
      <c r="S117" s="66" t="s">
        <v>42</v>
      </c>
      <c r="T117" s="85" t="s">
        <v>106</v>
      </c>
      <c r="U117" s="92" t="s">
        <v>106</v>
      </c>
      <c r="V117" s="66"/>
      <c r="W117" s="66"/>
      <c r="X117" s="66" t="s">
        <v>45</v>
      </c>
      <c r="Y117" s="144" t="s">
        <v>430</v>
      </c>
      <c r="Z117" s="144" t="s">
        <v>431</v>
      </c>
      <c r="AA117" s="151" t="s">
        <v>432</v>
      </c>
      <c r="AB117" s="66">
        <v>1</v>
      </c>
      <c r="AC117" s="66">
        <v>0.02</v>
      </c>
      <c r="AD117" s="66">
        <v>0.082</v>
      </c>
    </row>
    <row r="118" s="4" customFormat="1" ht="35" customHeight="1" spans="1:30">
      <c r="A118" s="25">
        <v>5</v>
      </c>
      <c r="B118" s="41" t="s">
        <v>480</v>
      </c>
      <c r="C118" s="41" t="s">
        <v>481</v>
      </c>
      <c r="D118" s="30" t="s">
        <v>91</v>
      </c>
      <c r="E118" s="30" t="s">
        <v>84</v>
      </c>
      <c r="F118" s="28">
        <f t="shared" si="11"/>
        <v>35</v>
      </c>
      <c r="G118" s="38">
        <v>35</v>
      </c>
      <c r="H118" s="121"/>
      <c r="I118" s="121"/>
      <c r="J118" s="28"/>
      <c r="K118" s="28"/>
      <c r="L118" s="55">
        <f t="shared" si="12"/>
        <v>35</v>
      </c>
      <c r="M118" s="38">
        <v>35</v>
      </c>
      <c r="N118" s="28"/>
      <c r="O118" s="28"/>
      <c r="P118" s="28"/>
      <c r="Q118" s="28"/>
      <c r="R118" s="144" t="s">
        <v>429</v>
      </c>
      <c r="S118" s="66" t="s">
        <v>42</v>
      </c>
      <c r="T118" s="85" t="s">
        <v>106</v>
      </c>
      <c r="U118" s="92" t="s">
        <v>106</v>
      </c>
      <c r="V118" s="85"/>
      <c r="W118" s="85"/>
      <c r="X118" s="85" t="s">
        <v>482</v>
      </c>
      <c r="Y118" s="144" t="s">
        <v>430</v>
      </c>
      <c r="Z118" s="144" t="s">
        <v>431</v>
      </c>
      <c r="AA118" s="151" t="s">
        <v>432</v>
      </c>
      <c r="AB118" s="66">
        <v>1</v>
      </c>
      <c r="AC118" s="85">
        <v>0.0118</v>
      </c>
      <c r="AD118" s="85">
        <v>0.0351</v>
      </c>
    </row>
    <row r="119" s="4" customFormat="1" ht="35" customHeight="1" spans="1:30">
      <c r="A119" s="25">
        <v>6</v>
      </c>
      <c r="B119" s="41" t="s">
        <v>483</v>
      </c>
      <c r="C119" s="41" t="s">
        <v>484</v>
      </c>
      <c r="D119" s="30" t="s">
        <v>91</v>
      </c>
      <c r="E119" s="30" t="s">
        <v>84</v>
      </c>
      <c r="F119" s="28">
        <f t="shared" si="11"/>
        <v>55</v>
      </c>
      <c r="G119" s="38">
        <v>55</v>
      </c>
      <c r="H119" s="121"/>
      <c r="I119" s="121"/>
      <c r="J119" s="28"/>
      <c r="K119" s="28"/>
      <c r="L119" s="55">
        <f t="shared" si="12"/>
        <v>55</v>
      </c>
      <c r="M119" s="38">
        <v>55</v>
      </c>
      <c r="N119" s="28"/>
      <c r="O119" s="28"/>
      <c r="P119" s="28"/>
      <c r="Q119" s="28"/>
      <c r="R119" s="144" t="s">
        <v>429</v>
      </c>
      <c r="S119" s="66" t="s">
        <v>42</v>
      </c>
      <c r="T119" s="85" t="s">
        <v>106</v>
      </c>
      <c r="U119" s="92" t="s">
        <v>106</v>
      </c>
      <c r="V119" s="66"/>
      <c r="W119" s="66"/>
      <c r="X119" s="85" t="s">
        <v>482</v>
      </c>
      <c r="Y119" s="85" t="s">
        <v>430</v>
      </c>
      <c r="Z119" s="85" t="s">
        <v>454</v>
      </c>
      <c r="AA119" s="151" t="s">
        <v>432</v>
      </c>
      <c r="AB119" s="66">
        <v>1</v>
      </c>
      <c r="AC119" s="66">
        <v>0.002</v>
      </c>
      <c r="AD119" s="66">
        <v>0.0086</v>
      </c>
    </row>
    <row r="120" s="4" customFormat="1" ht="35" customHeight="1" spans="1:30">
      <c r="A120" s="25">
        <v>7</v>
      </c>
      <c r="B120" s="41" t="s">
        <v>485</v>
      </c>
      <c r="C120" s="41" t="s">
        <v>486</v>
      </c>
      <c r="D120" s="30" t="s">
        <v>91</v>
      </c>
      <c r="E120" s="30" t="s">
        <v>84</v>
      </c>
      <c r="F120" s="28">
        <f t="shared" si="11"/>
        <v>35</v>
      </c>
      <c r="G120" s="38">
        <v>35</v>
      </c>
      <c r="H120" s="121"/>
      <c r="I120" s="121"/>
      <c r="J120" s="28"/>
      <c r="K120" s="28"/>
      <c r="L120" s="55">
        <f t="shared" si="12"/>
        <v>35</v>
      </c>
      <c r="M120" s="38">
        <v>35</v>
      </c>
      <c r="N120" s="28"/>
      <c r="O120" s="28"/>
      <c r="P120" s="28"/>
      <c r="Q120" s="28"/>
      <c r="R120" s="144" t="s">
        <v>429</v>
      </c>
      <c r="S120" s="66" t="s">
        <v>42</v>
      </c>
      <c r="T120" s="85" t="s">
        <v>106</v>
      </c>
      <c r="U120" s="92" t="s">
        <v>106</v>
      </c>
      <c r="V120" s="146"/>
      <c r="W120" s="146"/>
      <c r="X120" s="85" t="s">
        <v>482</v>
      </c>
      <c r="Y120" s="144" t="s">
        <v>430</v>
      </c>
      <c r="Z120" s="144" t="s">
        <v>431</v>
      </c>
      <c r="AA120" s="151" t="s">
        <v>432</v>
      </c>
      <c r="AB120" s="84">
        <v>1</v>
      </c>
      <c r="AC120" s="146" t="s">
        <v>487</v>
      </c>
      <c r="AD120" s="146" t="s">
        <v>488</v>
      </c>
    </row>
    <row r="121" s="4" customFormat="1" ht="35" customHeight="1" spans="1:30">
      <c r="A121" s="25">
        <v>8</v>
      </c>
      <c r="B121" s="41" t="s">
        <v>489</v>
      </c>
      <c r="C121" s="41" t="s">
        <v>490</v>
      </c>
      <c r="D121" s="30" t="s">
        <v>91</v>
      </c>
      <c r="E121" s="30" t="s">
        <v>84</v>
      </c>
      <c r="F121" s="28">
        <f t="shared" si="11"/>
        <v>65</v>
      </c>
      <c r="G121" s="38">
        <v>65</v>
      </c>
      <c r="H121" s="130"/>
      <c r="I121" s="130"/>
      <c r="J121" s="28"/>
      <c r="K121" s="28"/>
      <c r="L121" s="55">
        <f t="shared" si="12"/>
        <v>65</v>
      </c>
      <c r="M121" s="38">
        <v>65</v>
      </c>
      <c r="N121" s="28"/>
      <c r="O121" s="28"/>
      <c r="P121" s="28"/>
      <c r="Q121" s="28"/>
      <c r="R121" s="144" t="s">
        <v>429</v>
      </c>
      <c r="S121" s="66" t="s">
        <v>42</v>
      </c>
      <c r="T121" s="85" t="s">
        <v>106</v>
      </c>
      <c r="U121" s="92" t="s">
        <v>106</v>
      </c>
      <c r="V121" s="147"/>
      <c r="W121" s="147"/>
      <c r="X121" s="85" t="s">
        <v>482</v>
      </c>
      <c r="Y121" s="85" t="s">
        <v>430</v>
      </c>
      <c r="Z121" s="85" t="s">
        <v>454</v>
      </c>
      <c r="AA121" s="151" t="s">
        <v>432</v>
      </c>
      <c r="AB121" s="66">
        <v>1</v>
      </c>
      <c r="AC121" s="147" t="s">
        <v>491</v>
      </c>
      <c r="AD121" s="147" t="s">
        <v>492</v>
      </c>
    </row>
    <row r="122" s="4" customFormat="1" ht="35" customHeight="1" spans="1:22">
      <c r="A122" s="43"/>
      <c r="B122" s="131" t="s">
        <v>493</v>
      </c>
      <c r="C122" s="131" t="s">
        <v>494</v>
      </c>
      <c r="D122" s="36" t="s">
        <v>246</v>
      </c>
      <c r="E122" s="33"/>
      <c r="F122" s="33">
        <f>G122+P122+Q122</f>
        <v>12</v>
      </c>
      <c r="G122" s="33">
        <v>12</v>
      </c>
      <c r="H122" s="33"/>
      <c r="I122" s="32"/>
      <c r="J122" s="64"/>
      <c r="K122" s="33"/>
      <c r="L122" s="55">
        <f t="shared" si="12"/>
        <v>6</v>
      </c>
      <c r="M122" s="33">
        <v>6</v>
      </c>
      <c r="N122" s="33"/>
      <c r="O122" s="33"/>
      <c r="P122" s="33"/>
      <c r="Q122" s="90"/>
      <c r="R122" s="148" t="s">
        <v>495</v>
      </c>
      <c r="S122" s="91" t="s">
        <v>496</v>
      </c>
      <c r="T122" s="92" t="s">
        <v>106</v>
      </c>
      <c r="U122" s="92" t="s">
        <v>106</v>
      </c>
      <c r="V122" s="94"/>
    </row>
    <row r="123" s="7" customFormat="1" ht="35" customHeight="1" spans="1:30">
      <c r="A123" s="124">
        <v>9</v>
      </c>
      <c r="B123" s="132" t="s">
        <v>497</v>
      </c>
      <c r="C123" s="132" t="s">
        <v>498</v>
      </c>
      <c r="D123" s="127" t="s">
        <v>91</v>
      </c>
      <c r="E123" s="127" t="s">
        <v>84</v>
      </c>
      <c r="F123" s="128">
        <f t="shared" ref="F123:F152" si="13">SUM(G123:K123)</f>
        <v>35</v>
      </c>
      <c r="G123" s="129">
        <v>35</v>
      </c>
      <c r="H123" s="133"/>
      <c r="I123" s="133"/>
      <c r="J123" s="128"/>
      <c r="K123" s="128"/>
      <c r="L123" s="139">
        <f t="shared" ref="L123:L135" si="14">SUM(M123:Q123)</f>
        <v>35</v>
      </c>
      <c r="M123" s="129">
        <v>35</v>
      </c>
      <c r="N123" s="128"/>
      <c r="O123" s="128"/>
      <c r="P123" s="128"/>
      <c r="Q123" s="128"/>
      <c r="R123" s="144" t="s">
        <v>429</v>
      </c>
      <c r="S123" s="66" t="s">
        <v>42</v>
      </c>
      <c r="T123" s="85" t="s">
        <v>106</v>
      </c>
      <c r="U123" s="92" t="s">
        <v>106</v>
      </c>
      <c r="V123" s="66"/>
      <c r="W123" s="66"/>
      <c r="X123" s="85" t="s">
        <v>482</v>
      </c>
      <c r="Y123" s="144" t="s">
        <v>430</v>
      </c>
      <c r="Z123" s="144" t="s">
        <v>431</v>
      </c>
      <c r="AA123" s="151" t="s">
        <v>432</v>
      </c>
      <c r="AB123" s="66">
        <v>1</v>
      </c>
      <c r="AC123" s="66">
        <v>0.0027</v>
      </c>
      <c r="AD123" s="66">
        <v>0.0118</v>
      </c>
    </row>
    <row r="124" s="4" customFormat="1" ht="35" customHeight="1" spans="1:30">
      <c r="A124" s="25">
        <v>10</v>
      </c>
      <c r="B124" s="41" t="s">
        <v>499</v>
      </c>
      <c r="C124" s="41" t="s">
        <v>500</v>
      </c>
      <c r="D124" s="30" t="s">
        <v>91</v>
      </c>
      <c r="E124" s="30" t="s">
        <v>84</v>
      </c>
      <c r="F124" s="28">
        <f t="shared" si="13"/>
        <v>35</v>
      </c>
      <c r="G124" s="38">
        <v>35</v>
      </c>
      <c r="H124" s="121"/>
      <c r="I124" s="121"/>
      <c r="J124" s="28"/>
      <c r="K124" s="28"/>
      <c r="L124" s="55">
        <f t="shared" si="14"/>
        <v>35</v>
      </c>
      <c r="M124" s="38">
        <v>35</v>
      </c>
      <c r="N124" s="28"/>
      <c r="O124" s="28"/>
      <c r="P124" s="28"/>
      <c r="Q124" s="28"/>
      <c r="R124" s="144" t="s">
        <v>429</v>
      </c>
      <c r="S124" s="66" t="s">
        <v>42</v>
      </c>
      <c r="T124" s="85" t="s">
        <v>106</v>
      </c>
      <c r="U124" s="92" t="s">
        <v>106</v>
      </c>
      <c r="V124" s="66"/>
      <c r="W124" s="66"/>
      <c r="X124" s="85" t="s">
        <v>482</v>
      </c>
      <c r="Y124" s="144" t="s">
        <v>430</v>
      </c>
      <c r="Z124" s="144" t="s">
        <v>431</v>
      </c>
      <c r="AA124" s="151" t="s">
        <v>432</v>
      </c>
      <c r="AB124" s="66">
        <v>1</v>
      </c>
      <c r="AC124" s="66">
        <v>0.0027</v>
      </c>
      <c r="AD124" s="66">
        <v>0.0118</v>
      </c>
    </row>
    <row r="125" s="4" customFormat="1" ht="35" customHeight="1" spans="1:30">
      <c r="A125" s="25">
        <v>11</v>
      </c>
      <c r="B125" s="41" t="s">
        <v>501</v>
      </c>
      <c r="C125" s="41" t="s">
        <v>502</v>
      </c>
      <c r="D125" s="30" t="s">
        <v>91</v>
      </c>
      <c r="E125" s="30" t="s">
        <v>84</v>
      </c>
      <c r="F125" s="28">
        <f t="shared" si="13"/>
        <v>35</v>
      </c>
      <c r="G125" s="38">
        <v>35</v>
      </c>
      <c r="H125" s="121"/>
      <c r="I125" s="121"/>
      <c r="J125" s="28"/>
      <c r="K125" s="28"/>
      <c r="L125" s="55">
        <f t="shared" si="14"/>
        <v>35</v>
      </c>
      <c r="M125" s="38">
        <v>35</v>
      </c>
      <c r="N125" s="28"/>
      <c r="O125" s="28"/>
      <c r="P125" s="28"/>
      <c r="Q125" s="28"/>
      <c r="R125" s="144" t="s">
        <v>429</v>
      </c>
      <c r="S125" s="66" t="s">
        <v>42</v>
      </c>
      <c r="T125" s="85" t="s">
        <v>106</v>
      </c>
      <c r="U125" s="92" t="s">
        <v>106</v>
      </c>
      <c r="V125" s="66"/>
      <c r="W125" s="85"/>
      <c r="X125" s="85" t="s">
        <v>482</v>
      </c>
      <c r="Y125" s="144" t="s">
        <v>430</v>
      </c>
      <c r="Z125" s="144" t="s">
        <v>431</v>
      </c>
      <c r="AA125" s="151" t="s">
        <v>432</v>
      </c>
      <c r="AB125" s="66">
        <v>1</v>
      </c>
      <c r="AC125" s="66">
        <v>0.008</v>
      </c>
      <c r="AD125" s="66">
        <v>0.026</v>
      </c>
    </row>
    <row r="126" s="4" customFormat="1" ht="35" customHeight="1" spans="1:30">
      <c r="A126" s="25">
        <v>12</v>
      </c>
      <c r="B126" s="34" t="s">
        <v>503</v>
      </c>
      <c r="C126" s="34" t="s">
        <v>504</v>
      </c>
      <c r="D126" s="30" t="s">
        <v>91</v>
      </c>
      <c r="E126" s="30" t="s">
        <v>84</v>
      </c>
      <c r="F126" s="28">
        <f t="shared" si="13"/>
        <v>25</v>
      </c>
      <c r="G126" s="38">
        <v>25</v>
      </c>
      <c r="H126" s="121"/>
      <c r="I126" s="121"/>
      <c r="J126" s="28"/>
      <c r="K126" s="28"/>
      <c r="L126" s="55">
        <f t="shared" si="14"/>
        <v>25</v>
      </c>
      <c r="M126" s="38">
        <v>25</v>
      </c>
      <c r="N126" s="28"/>
      <c r="O126" s="28"/>
      <c r="P126" s="28"/>
      <c r="Q126" s="28"/>
      <c r="R126" s="144" t="s">
        <v>429</v>
      </c>
      <c r="S126" s="66" t="s">
        <v>42</v>
      </c>
      <c r="T126" s="85" t="s">
        <v>106</v>
      </c>
      <c r="U126" s="92" t="s">
        <v>106</v>
      </c>
      <c r="V126" s="66"/>
      <c r="W126" s="66"/>
      <c r="X126" s="85" t="s">
        <v>482</v>
      </c>
      <c r="Y126" s="144" t="s">
        <v>430</v>
      </c>
      <c r="Z126" s="144" t="s">
        <v>431</v>
      </c>
      <c r="AA126" s="151" t="s">
        <v>432</v>
      </c>
      <c r="AB126" s="66">
        <v>1</v>
      </c>
      <c r="AC126" s="66">
        <v>0.008</v>
      </c>
      <c r="AD126" s="66">
        <v>0.021</v>
      </c>
    </row>
    <row r="127" s="4" customFormat="1" ht="35" customHeight="1" spans="1:30">
      <c r="A127" s="25">
        <v>13</v>
      </c>
      <c r="B127" s="34" t="s">
        <v>505</v>
      </c>
      <c r="C127" s="34" t="s">
        <v>486</v>
      </c>
      <c r="D127" s="30" t="s">
        <v>75</v>
      </c>
      <c r="E127" s="30" t="s">
        <v>84</v>
      </c>
      <c r="F127" s="28">
        <f t="shared" si="13"/>
        <v>38</v>
      </c>
      <c r="G127" s="38"/>
      <c r="H127" s="121"/>
      <c r="I127" s="121">
        <v>38</v>
      </c>
      <c r="J127" s="28"/>
      <c r="K127" s="28"/>
      <c r="L127" s="55">
        <f t="shared" si="14"/>
        <v>36.770403</v>
      </c>
      <c r="M127" s="58"/>
      <c r="N127" s="58"/>
      <c r="O127" s="65">
        <v>36.770403</v>
      </c>
      <c r="P127" s="65"/>
      <c r="Q127" s="65"/>
      <c r="R127" s="144" t="s">
        <v>429</v>
      </c>
      <c r="S127" s="66" t="s">
        <v>42</v>
      </c>
      <c r="T127" s="85" t="s">
        <v>106</v>
      </c>
      <c r="U127" s="92" t="s">
        <v>106</v>
      </c>
      <c r="V127" s="85"/>
      <c r="W127" s="85"/>
      <c r="X127" s="66" t="s">
        <v>45</v>
      </c>
      <c r="Y127" s="66"/>
      <c r="Z127" s="66"/>
      <c r="AA127" s="85" t="s">
        <v>449</v>
      </c>
      <c r="AB127" s="66">
        <v>1</v>
      </c>
      <c r="AC127" s="66">
        <v>0.0027</v>
      </c>
      <c r="AD127" s="66">
        <v>0.0118</v>
      </c>
    </row>
    <row r="128" s="4" customFormat="1" ht="35" customHeight="1" spans="1:30">
      <c r="A128" s="25">
        <v>14</v>
      </c>
      <c r="B128" s="41" t="s">
        <v>506</v>
      </c>
      <c r="C128" s="41" t="s">
        <v>507</v>
      </c>
      <c r="D128" s="42" t="s">
        <v>508</v>
      </c>
      <c r="E128" s="42" t="s">
        <v>84</v>
      </c>
      <c r="F128" s="28">
        <f t="shared" si="13"/>
        <v>38</v>
      </c>
      <c r="G128" s="38">
        <v>38</v>
      </c>
      <c r="H128" s="121"/>
      <c r="I128" s="121"/>
      <c r="J128" s="28"/>
      <c r="K128" s="28"/>
      <c r="L128" s="55">
        <f t="shared" si="14"/>
        <v>38</v>
      </c>
      <c r="M128" s="38">
        <v>38</v>
      </c>
      <c r="N128" s="58"/>
      <c r="O128" s="65"/>
      <c r="P128" s="65"/>
      <c r="Q128" s="65"/>
      <c r="R128" s="144" t="s">
        <v>429</v>
      </c>
      <c r="S128" s="66" t="s">
        <v>42</v>
      </c>
      <c r="T128" s="85" t="s">
        <v>106</v>
      </c>
      <c r="U128" s="92" t="s">
        <v>106</v>
      </c>
      <c r="V128" s="66"/>
      <c r="W128" s="66"/>
      <c r="X128" s="66" t="s">
        <v>45</v>
      </c>
      <c r="Y128" s="144" t="s">
        <v>430</v>
      </c>
      <c r="Z128" s="144" t="s">
        <v>431</v>
      </c>
      <c r="AA128" s="151" t="s">
        <v>432</v>
      </c>
      <c r="AB128" s="66">
        <v>1</v>
      </c>
      <c r="AC128" s="66">
        <v>0.003</v>
      </c>
      <c r="AD128" s="66">
        <v>0.007</v>
      </c>
    </row>
    <row r="129" s="4" customFormat="1" ht="35" customHeight="1" spans="1:30">
      <c r="A129" s="25">
        <v>15</v>
      </c>
      <c r="B129" s="41" t="s">
        <v>509</v>
      </c>
      <c r="C129" s="41" t="s">
        <v>507</v>
      </c>
      <c r="D129" s="42" t="s">
        <v>508</v>
      </c>
      <c r="E129" s="42" t="s">
        <v>84</v>
      </c>
      <c r="F129" s="28">
        <f t="shared" si="13"/>
        <v>38</v>
      </c>
      <c r="G129" s="38">
        <v>38</v>
      </c>
      <c r="H129" s="121"/>
      <c r="I129" s="121"/>
      <c r="J129" s="28"/>
      <c r="K129" s="28"/>
      <c r="L129" s="55">
        <f t="shared" si="14"/>
        <v>38</v>
      </c>
      <c r="M129" s="38">
        <v>38</v>
      </c>
      <c r="N129" s="58"/>
      <c r="O129" s="65"/>
      <c r="P129" s="65"/>
      <c r="Q129" s="65"/>
      <c r="R129" s="144" t="s">
        <v>429</v>
      </c>
      <c r="S129" s="66" t="s">
        <v>42</v>
      </c>
      <c r="T129" s="85" t="s">
        <v>106</v>
      </c>
      <c r="U129" s="92" t="s">
        <v>106</v>
      </c>
      <c r="V129" s="66"/>
      <c r="W129" s="66"/>
      <c r="X129" s="66" t="s">
        <v>45</v>
      </c>
      <c r="Y129" s="144" t="s">
        <v>430</v>
      </c>
      <c r="Z129" s="144" t="s">
        <v>431</v>
      </c>
      <c r="AA129" s="151" t="s">
        <v>432</v>
      </c>
      <c r="AB129" s="66">
        <v>1</v>
      </c>
      <c r="AC129" s="66">
        <v>0.003</v>
      </c>
      <c r="AD129" s="66">
        <v>0.0007</v>
      </c>
    </row>
    <row r="130" s="4" customFormat="1" ht="35" customHeight="1" spans="1:30">
      <c r="A130" s="25">
        <v>16</v>
      </c>
      <c r="B130" s="41" t="s">
        <v>510</v>
      </c>
      <c r="C130" s="41" t="s">
        <v>507</v>
      </c>
      <c r="D130" s="42" t="s">
        <v>508</v>
      </c>
      <c r="E130" s="42" t="s">
        <v>84</v>
      </c>
      <c r="F130" s="28">
        <f t="shared" si="13"/>
        <v>38</v>
      </c>
      <c r="G130" s="38">
        <v>38</v>
      </c>
      <c r="H130" s="121"/>
      <c r="I130" s="121"/>
      <c r="J130" s="28"/>
      <c r="K130" s="28"/>
      <c r="L130" s="55">
        <f t="shared" si="14"/>
        <v>38</v>
      </c>
      <c r="M130" s="38">
        <v>38</v>
      </c>
      <c r="N130" s="58"/>
      <c r="O130" s="65"/>
      <c r="P130" s="65"/>
      <c r="Q130" s="65"/>
      <c r="R130" s="144" t="s">
        <v>429</v>
      </c>
      <c r="S130" s="66" t="s">
        <v>42</v>
      </c>
      <c r="T130" s="85" t="s">
        <v>106</v>
      </c>
      <c r="U130" s="92" t="s">
        <v>106</v>
      </c>
      <c r="V130" s="66"/>
      <c r="W130" s="66"/>
      <c r="X130" s="66" t="s">
        <v>45</v>
      </c>
      <c r="Y130" s="144" t="s">
        <v>430</v>
      </c>
      <c r="Z130" s="144" t="s">
        <v>431</v>
      </c>
      <c r="AA130" s="151" t="s">
        <v>432</v>
      </c>
      <c r="AB130" s="66">
        <v>1</v>
      </c>
      <c r="AC130" s="66">
        <v>0.003</v>
      </c>
      <c r="AD130" s="66">
        <v>0.0007</v>
      </c>
    </row>
    <row r="131" s="4" customFormat="1" ht="35" customHeight="1" spans="1:30">
      <c r="A131" s="25">
        <v>17</v>
      </c>
      <c r="B131" s="41" t="s">
        <v>511</v>
      </c>
      <c r="C131" s="41" t="s">
        <v>512</v>
      </c>
      <c r="D131" s="42" t="s">
        <v>508</v>
      </c>
      <c r="E131" s="42" t="s">
        <v>84</v>
      </c>
      <c r="F131" s="28">
        <f t="shared" si="13"/>
        <v>38</v>
      </c>
      <c r="G131" s="38">
        <v>38</v>
      </c>
      <c r="H131" s="121"/>
      <c r="I131" s="121"/>
      <c r="J131" s="28"/>
      <c r="K131" s="28"/>
      <c r="L131" s="55">
        <f t="shared" si="14"/>
        <v>38</v>
      </c>
      <c r="M131" s="38">
        <v>38</v>
      </c>
      <c r="N131" s="58"/>
      <c r="O131" s="65"/>
      <c r="P131" s="65"/>
      <c r="Q131" s="65"/>
      <c r="R131" s="144" t="s">
        <v>429</v>
      </c>
      <c r="S131" s="66" t="s">
        <v>42</v>
      </c>
      <c r="T131" s="85" t="s">
        <v>106</v>
      </c>
      <c r="U131" s="92" t="s">
        <v>106</v>
      </c>
      <c r="V131" s="66"/>
      <c r="W131" s="66"/>
      <c r="X131" s="66" t="s">
        <v>45</v>
      </c>
      <c r="Y131" s="144" t="s">
        <v>430</v>
      </c>
      <c r="Z131" s="144" t="s">
        <v>431</v>
      </c>
      <c r="AA131" s="151" t="s">
        <v>432</v>
      </c>
      <c r="AB131" s="66">
        <v>1</v>
      </c>
      <c r="AC131" s="66">
        <v>0.003</v>
      </c>
      <c r="AD131" s="66">
        <v>0.007</v>
      </c>
    </row>
    <row r="132" s="4" customFormat="1" ht="35" customHeight="1" spans="1:30">
      <c r="A132" s="25">
        <v>18</v>
      </c>
      <c r="B132" s="41" t="s">
        <v>513</v>
      </c>
      <c r="C132" s="41" t="s">
        <v>512</v>
      </c>
      <c r="D132" s="42" t="s">
        <v>508</v>
      </c>
      <c r="E132" s="42" t="s">
        <v>84</v>
      </c>
      <c r="F132" s="28">
        <f t="shared" si="13"/>
        <v>38</v>
      </c>
      <c r="G132" s="38">
        <v>38</v>
      </c>
      <c r="H132" s="121"/>
      <c r="I132" s="121"/>
      <c r="J132" s="28"/>
      <c r="K132" s="28"/>
      <c r="L132" s="55">
        <f t="shared" si="14"/>
        <v>38</v>
      </c>
      <c r="M132" s="38">
        <v>38</v>
      </c>
      <c r="N132" s="58"/>
      <c r="O132" s="65"/>
      <c r="P132" s="65"/>
      <c r="Q132" s="65"/>
      <c r="R132" s="144" t="s">
        <v>429</v>
      </c>
      <c r="S132" s="66" t="s">
        <v>42</v>
      </c>
      <c r="T132" s="85" t="s">
        <v>106</v>
      </c>
      <c r="U132" s="92" t="s">
        <v>106</v>
      </c>
      <c r="V132" s="66"/>
      <c r="W132" s="66"/>
      <c r="X132" s="66" t="s">
        <v>45</v>
      </c>
      <c r="Y132" s="144" t="s">
        <v>430</v>
      </c>
      <c r="Z132" s="144" t="s">
        <v>431</v>
      </c>
      <c r="AA132" s="151" t="s">
        <v>432</v>
      </c>
      <c r="AB132" s="66">
        <v>1</v>
      </c>
      <c r="AC132" s="66">
        <v>0.003</v>
      </c>
      <c r="AD132" s="66">
        <v>0.007</v>
      </c>
    </row>
    <row r="133" s="4" customFormat="1" ht="35" customHeight="1" spans="1:30">
      <c r="A133" s="25">
        <v>19</v>
      </c>
      <c r="B133" s="34" t="s">
        <v>514</v>
      </c>
      <c r="C133" s="34" t="s">
        <v>515</v>
      </c>
      <c r="D133" s="30" t="s">
        <v>91</v>
      </c>
      <c r="E133" s="30" t="s">
        <v>84</v>
      </c>
      <c r="F133" s="28">
        <f t="shared" si="13"/>
        <v>38</v>
      </c>
      <c r="G133" s="38">
        <v>38</v>
      </c>
      <c r="H133" s="121"/>
      <c r="I133" s="121"/>
      <c r="J133" s="28"/>
      <c r="K133" s="28"/>
      <c r="L133" s="55">
        <f t="shared" si="14"/>
        <v>38</v>
      </c>
      <c r="M133" s="38">
        <v>38</v>
      </c>
      <c r="N133" s="58"/>
      <c r="O133" s="65"/>
      <c r="P133" s="65"/>
      <c r="Q133" s="65"/>
      <c r="R133" s="144" t="s">
        <v>429</v>
      </c>
      <c r="S133" s="66" t="s">
        <v>42</v>
      </c>
      <c r="T133" s="85" t="s">
        <v>106</v>
      </c>
      <c r="U133" s="92" t="s">
        <v>106</v>
      </c>
      <c r="V133" s="66"/>
      <c r="W133" s="66"/>
      <c r="X133" s="66" t="s">
        <v>45</v>
      </c>
      <c r="Y133" s="144" t="s">
        <v>430</v>
      </c>
      <c r="Z133" s="144" t="s">
        <v>431</v>
      </c>
      <c r="AA133" s="151" t="s">
        <v>432</v>
      </c>
      <c r="AB133" s="66">
        <v>1</v>
      </c>
      <c r="AC133" s="66">
        <v>0.002</v>
      </c>
      <c r="AD133" s="66">
        <v>0.008</v>
      </c>
    </row>
    <row r="134" s="4" customFormat="1" ht="35" customHeight="1" spans="1:30">
      <c r="A134" s="25">
        <v>20</v>
      </c>
      <c r="B134" s="41" t="s">
        <v>516</v>
      </c>
      <c r="C134" s="41" t="s">
        <v>517</v>
      </c>
      <c r="D134" s="30" t="s">
        <v>91</v>
      </c>
      <c r="E134" s="30" t="s">
        <v>84</v>
      </c>
      <c r="F134" s="28">
        <f t="shared" si="13"/>
        <v>42</v>
      </c>
      <c r="G134" s="38">
        <v>42</v>
      </c>
      <c r="H134" s="121"/>
      <c r="I134" s="121"/>
      <c r="J134" s="28"/>
      <c r="K134" s="28"/>
      <c r="L134" s="55">
        <f t="shared" si="14"/>
        <v>42</v>
      </c>
      <c r="M134" s="38">
        <v>42</v>
      </c>
      <c r="N134" s="58"/>
      <c r="O134" s="65"/>
      <c r="P134" s="65"/>
      <c r="Q134" s="65"/>
      <c r="R134" s="144" t="s">
        <v>429</v>
      </c>
      <c r="S134" s="66" t="s">
        <v>42</v>
      </c>
      <c r="T134" s="85" t="s">
        <v>106</v>
      </c>
      <c r="U134" s="92" t="s">
        <v>106</v>
      </c>
      <c r="V134" s="66"/>
      <c r="W134" s="66"/>
      <c r="X134" s="66" t="s">
        <v>45</v>
      </c>
      <c r="Y134" s="144" t="s">
        <v>430</v>
      </c>
      <c r="Z134" s="144" t="s">
        <v>431</v>
      </c>
      <c r="AA134" s="151" t="s">
        <v>432</v>
      </c>
      <c r="AB134" s="66">
        <v>1</v>
      </c>
      <c r="AC134" s="66">
        <v>0.001</v>
      </c>
      <c r="AD134" s="66">
        <v>0.003</v>
      </c>
    </row>
    <row r="135" s="4" customFormat="1" ht="35" customHeight="1" spans="1:30">
      <c r="A135" s="25">
        <v>21</v>
      </c>
      <c r="B135" s="41" t="s">
        <v>518</v>
      </c>
      <c r="C135" s="41" t="s">
        <v>486</v>
      </c>
      <c r="D135" s="30" t="s">
        <v>91</v>
      </c>
      <c r="E135" s="30" t="s">
        <v>84</v>
      </c>
      <c r="F135" s="28">
        <f t="shared" si="13"/>
        <v>35</v>
      </c>
      <c r="G135" s="38">
        <v>35</v>
      </c>
      <c r="H135" s="121"/>
      <c r="I135" s="121"/>
      <c r="J135" s="28"/>
      <c r="K135" s="28"/>
      <c r="L135" s="55">
        <f t="shared" si="14"/>
        <v>35</v>
      </c>
      <c r="M135" s="38">
        <v>35</v>
      </c>
      <c r="N135" s="58"/>
      <c r="O135" s="65"/>
      <c r="P135" s="65"/>
      <c r="Q135" s="65"/>
      <c r="R135" s="144" t="s">
        <v>429</v>
      </c>
      <c r="S135" s="66" t="s">
        <v>42</v>
      </c>
      <c r="T135" s="85" t="s">
        <v>106</v>
      </c>
      <c r="U135" s="92" t="s">
        <v>106</v>
      </c>
      <c r="V135" s="66"/>
      <c r="W135" s="66"/>
      <c r="X135" s="66" t="s">
        <v>45</v>
      </c>
      <c r="Y135" s="144" t="s">
        <v>430</v>
      </c>
      <c r="Z135" s="144" t="s">
        <v>431</v>
      </c>
      <c r="AA135" s="151" t="s">
        <v>432</v>
      </c>
      <c r="AB135" s="66">
        <v>1</v>
      </c>
      <c r="AC135" s="66">
        <v>0.0027</v>
      </c>
      <c r="AD135" s="66">
        <v>0.0118</v>
      </c>
    </row>
    <row r="136" s="4" customFormat="1" ht="35" customHeight="1" spans="1:30">
      <c r="A136" s="25">
        <v>22</v>
      </c>
      <c r="B136" s="41" t="s">
        <v>519</v>
      </c>
      <c r="C136" s="41" t="s">
        <v>520</v>
      </c>
      <c r="D136" s="30" t="s">
        <v>91</v>
      </c>
      <c r="E136" s="30" t="s">
        <v>84</v>
      </c>
      <c r="F136" s="28">
        <f t="shared" si="13"/>
        <v>35</v>
      </c>
      <c r="G136" s="38">
        <v>35</v>
      </c>
      <c r="H136" s="121"/>
      <c r="I136" s="121"/>
      <c r="J136" s="28"/>
      <c r="K136" s="28"/>
      <c r="L136" s="55">
        <f t="shared" ref="L136:L158" si="15">SUM(M136:Q136)</f>
        <v>35</v>
      </c>
      <c r="M136" s="38">
        <v>35</v>
      </c>
      <c r="N136" s="58"/>
      <c r="O136" s="65"/>
      <c r="P136" s="65"/>
      <c r="Q136" s="65"/>
      <c r="R136" s="144" t="s">
        <v>429</v>
      </c>
      <c r="S136" s="66" t="s">
        <v>42</v>
      </c>
      <c r="T136" s="85" t="s">
        <v>106</v>
      </c>
      <c r="U136" s="92" t="s">
        <v>106</v>
      </c>
      <c r="V136" s="66"/>
      <c r="W136" s="66"/>
      <c r="X136" s="66" t="s">
        <v>45</v>
      </c>
      <c r="Y136" s="144" t="s">
        <v>430</v>
      </c>
      <c r="Z136" s="144" t="s">
        <v>431</v>
      </c>
      <c r="AA136" s="151" t="s">
        <v>432</v>
      </c>
      <c r="AB136" s="66">
        <v>1</v>
      </c>
      <c r="AC136" s="66">
        <v>0.0027</v>
      </c>
      <c r="AD136" s="66">
        <v>0.0118</v>
      </c>
    </row>
    <row r="137" s="4" customFormat="1" ht="35" customHeight="1" spans="1:30">
      <c r="A137" s="25">
        <v>23</v>
      </c>
      <c r="B137" s="41" t="s">
        <v>521</v>
      </c>
      <c r="C137" s="41" t="s">
        <v>522</v>
      </c>
      <c r="D137" s="30" t="s">
        <v>91</v>
      </c>
      <c r="E137" s="30" t="s">
        <v>84</v>
      </c>
      <c r="F137" s="28">
        <f t="shared" si="13"/>
        <v>35</v>
      </c>
      <c r="G137" s="38">
        <v>35</v>
      </c>
      <c r="H137" s="121"/>
      <c r="I137" s="121"/>
      <c r="J137" s="28"/>
      <c r="K137" s="28"/>
      <c r="L137" s="55">
        <f t="shared" si="15"/>
        <v>35</v>
      </c>
      <c r="M137" s="38">
        <v>35</v>
      </c>
      <c r="N137" s="58"/>
      <c r="O137" s="65"/>
      <c r="P137" s="65"/>
      <c r="Q137" s="65"/>
      <c r="R137" s="144" t="s">
        <v>429</v>
      </c>
      <c r="S137" s="66" t="s">
        <v>42</v>
      </c>
      <c r="T137" s="85" t="s">
        <v>106</v>
      </c>
      <c r="U137" s="92" t="s">
        <v>106</v>
      </c>
      <c r="V137" s="66"/>
      <c r="W137" s="66"/>
      <c r="X137" s="66" t="s">
        <v>45</v>
      </c>
      <c r="Y137" s="144" t="s">
        <v>430</v>
      </c>
      <c r="Z137" s="144" t="s">
        <v>431</v>
      </c>
      <c r="AA137" s="151" t="s">
        <v>432</v>
      </c>
      <c r="AB137" s="66">
        <v>1</v>
      </c>
      <c r="AC137" s="66">
        <v>0.008</v>
      </c>
      <c r="AD137" s="66">
        <v>0.026</v>
      </c>
    </row>
    <row r="138" s="4" customFormat="1" ht="35" customHeight="1" spans="1:30">
      <c r="A138" s="25">
        <v>24</v>
      </c>
      <c r="B138" s="41" t="s">
        <v>523</v>
      </c>
      <c r="C138" s="41" t="s">
        <v>524</v>
      </c>
      <c r="D138" s="30" t="s">
        <v>91</v>
      </c>
      <c r="E138" s="30" t="s">
        <v>84</v>
      </c>
      <c r="F138" s="28">
        <f t="shared" si="13"/>
        <v>35</v>
      </c>
      <c r="G138" s="38">
        <v>35</v>
      </c>
      <c r="H138" s="121"/>
      <c r="I138" s="121"/>
      <c r="J138" s="28"/>
      <c r="K138" s="28"/>
      <c r="L138" s="55">
        <f t="shared" si="15"/>
        <v>35</v>
      </c>
      <c r="M138" s="38">
        <v>35</v>
      </c>
      <c r="N138" s="58"/>
      <c r="O138" s="65"/>
      <c r="P138" s="65"/>
      <c r="Q138" s="65"/>
      <c r="R138" s="144" t="s">
        <v>429</v>
      </c>
      <c r="S138" s="66" t="s">
        <v>42</v>
      </c>
      <c r="T138" s="85" t="s">
        <v>106</v>
      </c>
      <c r="U138" s="92" t="s">
        <v>106</v>
      </c>
      <c r="V138" s="66"/>
      <c r="W138" s="66"/>
      <c r="X138" s="66" t="s">
        <v>45</v>
      </c>
      <c r="Y138" s="144" t="s">
        <v>430</v>
      </c>
      <c r="Z138" s="144" t="s">
        <v>431</v>
      </c>
      <c r="AA138" s="151" t="s">
        <v>432</v>
      </c>
      <c r="AB138" s="66">
        <v>1</v>
      </c>
      <c r="AC138" s="66">
        <v>0.001</v>
      </c>
      <c r="AD138" s="66">
        <v>0.003</v>
      </c>
    </row>
    <row r="139" s="8" customFormat="1" ht="35" customHeight="1" spans="1:30">
      <c r="A139" s="25">
        <v>25</v>
      </c>
      <c r="B139" s="41" t="s">
        <v>525</v>
      </c>
      <c r="C139" s="41" t="s">
        <v>526</v>
      </c>
      <c r="D139" s="30" t="s">
        <v>461</v>
      </c>
      <c r="E139" s="30" t="s">
        <v>407</v>
      </c>
      <c r="F139" s="28">
        <f t="shared" si="13"/>
        <v>38</v>
      </c>
      <c r="G139" s="38"/>
      <c r="H139" s="121">
        <v>11</v>
      </c>
      <c r="I139" s="121"/>
      <c r="J139" s="28">
        <v>27</v>
      </c>
      <c r="K139" s="28"/>
      <c r="L139" s="55">
        <f t="shared" si="15"/>
        <v>34.1303</v>
      </c>
      <c r="M139" s="58"/>
      <c r="N139" s="58">
        <v>11</v>
      </c>
      <c r="O139" s="65"/>
      <c r="P139" s="65">
        <v>23.1303</v>
      </c>
      <c r="Q139" s="65"/>
      <c r="R139" s="144" t="s">
        <v>429</v>
      </c>
      <c r="S139" s="66" t="s">
        <v>42</v>
      </c>
      <c r="T139" s="85" t="s">
        <v>106</v>
      </c>
      <c r="U139" s="92" t="s">
        <v>106</v>
      </c>
      <c r="V139" s="85"/>
      <c r="W139" s="85"/>
      <c r="X139" s="66" t="s">
        <v>45</v>
      </c>
      <c r="Y139" s="66"/>
      <c r="Z139" s="66"/>
      <c r="AA139" s="85" t="s">
        <v>449</v>
      </c>
      <c r="AB139" s="66">
        <v>1</v>
      </c>
      <c r="AC139" s="66">
        <v>0.002</v>
      </c>
      <c r="AD139" s="66">
        <v>0.006</v>
      </c>
    </row>
    <row r="140" s="4" customFormat="1" ht="35" customHeight="1" spans="1:30">
      <c r="A140" s="25">
        <v>26</v>
      </c>
      <c r="B140" s="41" t="s">
        <v>527</v>
      </c>
      <c r="C140" s="41" t="s">
        <v>528</v>
      </c>
      <c r="D140" s="30" t="s">
        <v>461</v>
      </c>
      <c r="E140" s="30" t="s">
        <v>84</v>
      </c>
      <c r="F140" s="28">
        <f t="shared" si="13"/>
        <v>36</v>
      </c>
      <c r="G140" s="38"/>
      <c r="H140" s="121"/>
      <c r="I140" s="121">
        <v>36</v>
      </c>
      <c r="J140" s="28"/>
      <c r="K140" s="28"/>
      <c r="L140" s="55">
        <f t="shared" si="15"/>
        <v>34.138688</v>
      </c>
      <c r="M140" s="58"/>
      <c r="N140" s="58"/>
      <c r="O140" s="65">
        <v>34.138688</v>
      </c>
      <c r="P140" s="65"/>
      <c r="Q140" s="65"/>
      <c r="R140" s="144" t="s">
        <v>429</v>
      </c>
      <c r="S140" s="66" t="s">
        <v>42</v>
      </c>
      <c r="T140" s="85" t="s">
        <v>106</v>
      </c>
      <c r="U140" s="92" t="s">
        <v>106</v>
      </c>
      <c r="V140" s="85"/>
      <c r="W140" s="85"/>
      <c r="X140" s="66" t="s">
        <v>45</v>
      </c>
      <c r="Y140" s="66"/>
      <c r="Z140" s="66"/>
      <c r="AA140" s="85" t="s">
        <v>449</v>
      </c>
      <c r="AB140" s="66">
        <v>1</v>
      </c>
      <c r="AC140" s="66">
        <v>0.002</v>
      </c>
      <c r="AD140" s="66">
        <v>0.008</v>
      </c>
    </row>
    <row r="141" s="8" customFormat="1" ht="35" customHeight="1" spans="1:30">
      <c r="A141" s="25">
        <v>27</v>
      </c>
      <c r="B141" s="41" t="s">
        <v>529</v>
      </c>
      <c r="C141" s="41" t="s">
        <v>526</v>
      </c>
      <c r="D141" s="30" t="s">
        <v>461</v>
      </c>
      <c r="E141" s="30" t="s">
        <v>407</v>
      </c>
      <c r="F141" s="28">
        <f t="shared" si="13"/>
        <v>36.4</v>
      </c>
      <c r="G141" s="38">
        <v>4.57</v>
      </c>
      <c r="H141" s="121"/>
      <c r="I141" s="121"/>
      <c r="J141" s="28">
        <f>19.83+12</f>
        <v>31.83</v>
      </c>
      <c r="K141" s="28"/>
      <c r="L141" s="55">
        <f t="shared" si="15"/>
        <v>28.7485</v>
      </c>
      <c r="M141" s="58">
        <v>4.57</v>
      </c>
      <c r="N141" s="58"/>
      <c r="O141" s="65"/>
      <c r="P141" s="65">
        <v>24.1785</v>
      </c>
      <c r="Q141" s="65"/>
      <c r="R141" s="144" t="s">
        <v>429</v>
      </c>
      <c r="S141" s="66" t="s">
        <v>42</v>
      </c>
      <c r="T141" s="85" t="s">
        <v>106</v>
      </c>
      <c r="U141" s="92" t="s">
        <v>106</v>
      </c>
      <c r="V141" s="85"/>
      <c r="W141" s="85" t="s">
        <v>173</v>
      </c>
      <c r="X141" s="66"/>
      <c r="Y141" s="66"/>
      <c r="Z141" s="66"/>
      <c r="AA141" s="85" t="s">
        <v>449</v>
      </c>
      <c r="AB141" s="66">
        <v>1</v>
      </c>
      <c r="AC141" s="66">
        <v>0.003</v>
      </c>
      <c r="AD141" s="66">
        <v>0.007</v>
      </c>
    </row>
    <row r="142" s="4" customFormat="1" ht="35" customHeight="1" spans="1:30">
      <c r="A142" s="25">
        <v>25</v>
      </c>
      <c r="B142" s="41" t="s">
        <v>530</v>
      </c>
      <c r="C142" s="41" t="s">
        <v>475</v>
      </c>
      <c r="D142" s="30" t="s">
        <v>91</v>
      </c>
      <c r="E142" s="27" t="s">
        <v>76</v>
      </c>
      <c r="F142" s="28">
        <f t="shared" si="13"/>
        <v>49.920919</v>
      </c>
      <c r="G142" s="38">
        <v>0</v>
      </c>
      <c r="H142" s="121"/>
      <c r="I142" s="121"/>
      <c r="J142" s="28"/>
      <c r="K142" s="121">
        <v>49.920919</v>
      </c>
      <c r="L142" s="55">
        <f t="shared" si="15"/>
        <v>39.936776</v>
      </c>
      <c r="M142" s="137"/>
      <c r="N142" s="137"/>
      <c r="O142" s="65"/>
      <c r="P142" s="65"/>
      <c r="Q142" s="89">
        <f>24.9605+14.976276</f>
        <v>39.936776</v>
      </c>
      <c r="R142" s="144" t="s">
        <v>429</v>
      </c>
      <c r="S142" s="66" t="s">
        <v>42</v>
      </c>
      <c r="T142" s="85" t="s">
        <v>106</v>
      </c>
      <c r="U142" s="92" t="s">
        <v>106</v>
      </c>
      <c r="V142" s="66"/>
      <c r="W142" s="85" t="s">
        <v>173</v>
      </c>
      <c r="X142" s="66"/>
      <c r="Y142" s="66" t="s">
        <v>531</v>
      </c>
      <c r="Z142" s="66" t="s">
        <v>532</v>
      </c>
      <c r="AA142" s="151" t="s">
        <v>432</v>
      </c>
      <c r="AB142" s="66">
        <v>1</v>
      </c>
      <c r="AC142" s="66">
        <v>0.0027</v>
      </c>
      <c r="AD142" s="66">
        <v>0.0118</v>
      </c>
    </row>
    <row r="143" s="4" customFormat="1" ht="35" customHeight="1" spans="1:30">
      <c r="A143" s="25">
        <v>26</v>
      </c>
      <c r="B143" s="41" t="s">
        <v>533</v>
      </c>
      <c r="C143" s="41" t="s">
        <v>486</v>
      </c>
      <c r="D143" s="30" t="s">
        <v>91</v>
      </c>
      <c r="E143" s="27" t="s">
        <v>76</v>
      </c>
      <c r="F143" s="28">
        <f t="shared" si="13"/>
        <v>35.926349</v>
      </c>
      <c r="G143" s="38">
        <v>0</v>
      </c>
      <c r="H143" s="121"/>
      <c r="I143" s="121"/>
      <c r="J143" s="28"/>
      <c r="K143" s="121">
        <v>35.926349</v>
      </c>
      <c r="L143" s="55">
        <f t="shared" si="15"/>
        <v>28.7409</v>
      </c>
      <c r="M143" s="137"/>
      <c r="N143" s="137"/>
      <c r="O143" s="65"/>
      <c r="P143" s="65"/>
      <c r="Q143" s="89">
        <f>17.9631+10.7778</f>
        <v>28.7409</v>
      </c>
      <c r="R143" s="144" t="s">
        <v>429</v>
      </c>
      <c r="S143" s="66" t="s">
        <v>42</v>
      </c>
      <c r="T143" s="85" t="s">
        <v>106</v>
      </c>
      <c r="U143" s="92" t="s">
        <v>106</v>
      </c>
      <c r="V143" s="66"/>
      <c r="W143" s="85" t="s">
        <v>173</v>
      </c>
      <c r="X143" s="66"/>
      <c r="Y143" s="66" t="s">
        <v>531</v>
      </c>
      <c r="Z143" s="66" t="s">
        <v>534</v>
      </c>
      <c r="AA143" s="151" t="s">
        <v>432</v>
      </c>
      <c r="AB143" s="66">
        <v>1</v>
      </c>
      <c r="AC143" s="66">
        <v>0.008</v>
      </c>
      <c r="AD143" s="66">
        <v>0.026</v>
      </c>
    </row>
    <row r="144" s="4" customFormat="1" ht="35" customHeight="1" spans="1:30">
      <c r="A144" s="25">
        <v>27</v>
      </c>
      <c r="B144" s="41" t="s">
        <v>535</v>
      </c>
      <c r="C144" s="41" t="s">
        <v>486</v>
      </c>
      <c r="D144" s="30" t="s">
        <v>91</v>
      </c>
      <c r="E144" s="27" t="s">
        <v>76</v>
      </c>
      <c r="F144" s="28">
        <f t="shared" si="13"/>
        <v>35.929933</v>
      </c>
      <c r="G144" s="38">
        <v>0</v>
      </c>
      <c r="H144" s="121"/>
      <c r="I144" s="121"/>
      <c r="J144" s="28"/>
      <c r="K144" s="121">
        <v>35.929933</v>
      </c>
      <c r="L144" s="55">
        <f t="shared" si="15"/>
        <v>28.7438</v>
      </c>
      <c r="M144" s="137"/>
      <c r="N144" s="137"/>
      <c r="O144" s="65"/>
      <c r="P144" s="65"/>
      <c r="Q144" s="89">
        <f>17.9649+10.7789</f>
        <v>28.7438</v>
      </c>
      <c r="R144" s="144" t="s">
        <v>429</v>
      </c>
      <c r="S144" s="66" t="s">
        <v>42</v>
      </c>
      <c r="T144" s="85" t="s">
        <v>106</v>
      </c>
      <c r="U144" s="92" t="s">
        <v>106</v>
      </c>
      <c r="V144" s="66"/>
      <c r="W144" s="85" t="s">
        <v>173</v>
      </c>
      <c r="X144" s="66"/>
      <c r="Y144" s="66" t="s">
        <v>531</v>
      </c>
      <c r="Z144" s="66" t="s">
        <v>534</v>
      </c>
      <c r="AA144" s="151" t="s">
        <v>432</v>
      </c>
      <c r="AB144" s="66">
        <v>1</v>
      </c>
      <c r="AC144" s="66">
        <v>0.008</v>
      </c>
      <c r="AD144" s="66">
        <v>0.021</v>
      </c>
    </row>
    <row r="145" s="4" customFormat="1" ht="35" customHeight="1" spans="1:30">
      <c r="A145" s="25">
        <v>28</v>
      </c>
      <c r="B145" s="41" t="s">
        <v>536</v>
      </c>
      <c r="C145" s="41" t="s">
        <v>486</v>
      </c>
      <c r="D145" s="30" t="s">
        <v>91</v>
      </c>
      <c r="E145" s="27" t="s">
        <v>76</v>
      </c>
      <c r="F145" s="28">
        <f t="shared" si="13"/>
        <v>34.950714</v>
      </c>
      <c r="G145" s="38">
        <v>0</v>
      </c>
      <c r="H145" s="121"/>
      <c r="I145" s="121"/>
      <c r="J145" s="28"/>
      <c r="K145" s="121">
        <v>34.950714</v>
      </c>
      <c r="L145" s="55">
        <f t="shared" si="15"/>
        <v>27.9605</v>
      </c>
      <c r="M145" s="137"/>
      <c r="N145" s="137"/>
      <c r="O145" s="65"/>
      <c r="P145" s="65"/>
      <c r="Q145" s="89">
        <f>17.4753+10.4852</f>
        <v>27.9605</v>
      </c>
      <c r="R145" s="144" t="s">
        <v>429</v>
      </c>
      <c r="S145" s="66" t="s">
        <v>42</v>
      </c>
      <c r="T145" s="85" t="s">
        <v>106</v>
      </c>
      <c r="U145" s="92" t="s">
        <v>106</v>
      </c>
      <c r="V145" s="66"/>
      <c r="W145" s="85" t="s">
        <v>173</v>
      </c>
      <c r="X145" s="66"/>
      <c r="Y145" s="66" t="s">
        <v>531</v>
      </c>
      <c r="Z145" s="66" t="s">
        <v>534</v>
      </c>
      <c r="AA145" s="151" t="s">
        <v>432</v>
      </c>
      <c r="AB145" s="66">
        <v>1</v>
      </c>
      <c r="AC145" s="66">
        <v>0.02</v>
      </c>
      <c r="AD145" s="66">
        <v>0.082</v>
      </c>
    </row>
    <row r="146" s="4" customFormat="1" ht="35" customHeight="1" spans="1:30">
      <c r="A146" s="25">
        <v>29</v>
      </c>
      <c r="B146" s="41" t="s">
        <v>537</v>
      </c>
      <c r="C146" s="41" t="s">
        <v>486</v>
      </c>
      <c r="D146" s="30" t="s">
        <v>91</v>
      </c>
      <c r="E146" s="27" t="s">
        <v>76</v>
      </c>
      <c r="F146" s="28">
        <f t="shared" si="13"/>
        <v>35.550346</v>
      </c>
      <c r="G146" s="38">
        <v>0</v>
      </c>
      <c r="H146" s="121"/>
      <c r="I146" s="121"/>
      <c r="J146" s="28"/>
      <c r="K146" s="121">
        <v>35.550346</v>
      </c>
      <c r="L146" s="55">
        <f t="shared" si="15"/>
        <v>34.483846</v>
      </c>
      <c r="M146" s="137"/>
      <c r="N146" s="137"/>
      <c r="O146" s="65"/>
      <c r="P146" s="71"/>
      <c r="Q146" s="89">
        <f>17+17.483846</f>
        <v>34.483846</v>
      </c>
      <c r="R146" s="144" t="s">
        <v>429</v>
      </c>
      <c r="S146" s="66" t="s">
        <v>42</v>
      </c>
      <c r="T146" s="85" t="s">
        <v>106</v>
      </c>
      <c r="U146" s="92" t="s">
        <v>106</v>
      </c>
      <c r="V146" s="85"/>
      <c r="W146" s="85"/>
      <c r="X146" s="66" t="s">
        <v>45</v>
      </c>
      <c r="Y146" s="66" t="s">
        <v>531</v>
      </c>
      <c r="Z146" s="66" t="s">
        <v>534</v>
      </c>
      <c r="AA146" s="151" t="s">
        <v>432</v>
      </c>
      <c r="AB146" s="66">
        <v>1</v>
      </c>
      <c r="AC146" s="85">
        <v>0.0118</v>
      </c>
      <c r="AD146" s="85">
        <v>0.0351</v>
      </c>
    </row>
    <row r="147" s="4" customFormat="1" ht="35" customHeight="1" spans="1:30">
      <c r="A147" s="25">
        <v>30</v>
      </c>
      <c r="B147" s="41" t="s">
        <v>538</v>
      </c>
      <c r="C147" s="41" t="s">
        <v>486</v>
      </c>
      <c r="D147" s="30" t="s">
        <v>91</v>
      </c>
      <c r="E147" s="27" t="s">
        <v>76</v>
      </c>
      <c r="F147" s="28">
        <f t="shared" si="13"/>
        <v>34.125071</v>
      </c>
      <c r="G147" s="38">
        <v>0</v>
      </c>
      <c r="H147" s="121"/>
      <c r="I147" s="121"/>
      <c r="J147" s="28"/>
      <c r="K147" s="121">
        <v>34.125071</v>
      </c>
      <c r="L147" s="55">
        <f t="shared" si="15"/>
        <v>33.101371</v>
      </c>
      <c r="M147" s="137"/>
      <c r="N147" s="137"/>
      <c r="O147" s="65"/>
      <c r="P147" s="65"/>
      <c r="Q147" s="89">
        <f>17+10.23+5.871371</f>
        <v>33.101371</v>
      </c>
      <c r="R147" s="144" t="s">
        <v>429</v>
      </c>
      <c r="S147" s="66" t="s">
        <v>42</v>
      </c>
      <c r="T147" s="85" t="s">
        <v>106</v>
      </c>
      <c r="U147" s="92" t="s">
        <v>106</v>
      </c>
      <c r="V147" s="66"/>
      <c r="W147" s="85"/>
      <c r="X147" s="66" t="s">
        <v>45</v>
      </c>
      <c r="Y147" s="66" t="s">
        <v>531</v>
      </c>
      <c r="Z147" s="66" t="s">
        <v>534</v>
      </c>
      <c r="AA147" s="151" t="s">
        <v>432</v>
      </c>
      <c r="AB147" s="66">
        <v>1</v>
      </c>
      <c r="AC147" s="66">
        <v>0.001</v>
      </c>
      <c r="AD147" s="66">
        <v>0.003</v>
      </c>
    </row>
    <row r="148" s="4" customFormat="1" ht="35" customHeight="1" spans="1:30">
      <c r="A148" s="25">
        <v>31</v>
      </c>
      <c r="B148" s="41" t="s">
        <v>539</v>
      </c>
      <c r="C148" s="41" t="s">
        <v>486</v>
      </c>
      <c r="D148" s="30" t="s">
        <v>91</v>
      </c>
      <c r="E148" s="27" t="s">
        <v>76</v>
      </c>
      <c r="F148" s="28">
        <f t="shared" si="13"/>
        <v>34.938776</v>
      </c>
      <c r="G148" s="38">
        <v>0</v>
      </c>
      <c r="H148" s="121"/>
      <c r="I148" s="121"/>
      <c r="J148" s="28"/>
      <c r="K148" s="121">
        <v>34.938776</v>
      </c>
      <c r="L148" s="55">
        <f t="shared" si="15"/>
        <v>33.890676</v>
      </c>
      <c r="M148" s="137"/>
      <c r="N148" s="137"/>
      <c r="O148" s="65"/>
      <c r="P148" s="65"/>
      <c r="Q148" s="89">
        <f>17.4693+10.4816+5.939776</f>
        <v>33.890676</v>
      </c>
      <c r="R148" s="144" t="s">
        <v>429</v>
      </c>
      <c r="S148" s="66" t="s">
        <v>42</v>
      </c>
      <c r="T148" s="85" t="s">
        <v>106</v>
      </c>
      <c r="U148" s="92" t="s">
        <v>106</v>
      </c>
      <c r="V148" s="66"/>
      <c r="W148" s="85"/>
      <c r="X148" s="66" t="s">
        <v>45</v>
      </c>
      <c r="Y148" s="66" t="s">
        <v>531</v>
      </c>
      <c r="Z148" s="66" t="s">
        <v>534</v>
      </c>
      <c r="AA148" s="151" t="s">
        <v>432</v>
      </c>
      <c r="AB148" s="66">
        <v>1</v>
      </c>
      <c r="AC148" s="66">
        <v>0.001</v>
      </c>
      <c r="AD148" s="66">
        <v>0.003</v>
      </c>
    </row>
    <row r="149" s="4" customFormat="1" ht="35" customHeight="1" spans="1:30">
      <c r="A149" s="25" t="s">
        <v>128</v>
      </c>
      <c r="B149" s="41" t="s">
        <v>540</v>
      </c>
      <c r="C149" s="41"/>
      <c r="D149" s="30"/>
      <c r="E149" s="30"/>
      <c r="F149" s="28">
        <f t="shared" si="13"/>
        <v>1580</v>
      </c>
      <c r="G149" s="28">
        <f>G150+G151+G152</f>
        <v>700</v>
      </c>
      <c r="H149" s="28">
        <f>H150+H151+H152</f>
        <v>0</v>
      </c>
      <c r="I149" s="28">
        <f>I150+I151+I152</f>
        <v>880</v>
      </c>
      <c r="J149" s="28">
        <f>J150+J151+J152</f>
        <v>0</v>
      </c>
      <c r="K149" s="28">
        <f>K150+K151+K152</f>
        <v>0</v>
      </c>
      <c r="L149" s="55">
        <f t="shared" si="15"/>
        <v>1464.5372</v>
      </c>
      <c r="M149" s="58">
        <f>SUM(M150:M152)</f>
        <v>666.97</v>
      </c>
      <c r="N149" s="58">
        <f>SUM(N150:N152)</f>
        <v>0</v>
      </c>
      <c r="O149" s="58">
        <f>SUM(O150:O152)</f>
        <v>797.5672</v>
      </c>
      <c r="P149" s="58">
        <f>SUM(P150:P152)</f>
        <v>0</v>
      </c>
      <c r="Q149" s="58">
        <f>SUM(Q150:Q152)</f>
        <v>0</v>
      </c>
      <c r="R149" s="66"/>
      <c r="S149" s="66"/>
      <c r="T149" s="85"/>
      <c r="U149" s="92" t="s">
        <v>106</v>
      </c>
      <c r="V149" s="66"/>
      <c r="W149" s="66"/>
      <c r="X149" s="66"/>
      <c r="Y149" s="66"/>
      <c r="Z149" s="66"/>
      <c r="AA149" s="66"/>
      <c r="AB149" s="66"/>
      <c r="AC149" s="66"/>
      <c r="AD149" s="66"/>
    </row>
    <row r="150" s="4" customFormat="1" ht="44" customHeight="1" spans="1:30">
      <c r="A150" s="25">
        <v>1</v>
      </c>
      <c r="B150" s="29" t="s">
        <v>541</v>
      </c>
      <c r="C150" s="29" t="s">
        <v>542</v>
      </c>
      <c r="D150" s="27"/>
      <c r="E150" s="27" t="s">
        <v>84</v>
      </c>
      <c r="F150" s="28">
        <f t="shared" si="13"/>
        <v>1000</v>
      </c>
      <c r="G150" s="38">
        <v>700</v>
      </c>
      <c r="H150" s="28"/>
      <c r="I150" s="28">
        <v>300</v>
      </c>
      <c r="J150" s="28"/>
      <c r="K150" s="28"/>
      <c r="L150" s="55">
        <f t="shared" si="15"/>
        <v>966.7372</v>
      </c>
      <c r="M150" s="58">
        <v>666.97</v>
      </c>
      <c r="N150" s="58"/>
      <c r="O150" s="59">
        <v>299.7672</v>
      </c>
      <c r="P150" s="60"/>
      <c r="Q150" s="60"/>
      <c r="R150" s="144" t="s">
        <v>543</v>
      </c>
      <c r="S150" s="84" t="s">
        <v>544</v>
      </c>
      <c r="T150" s="85" t="s">
        <v>106</v>
      </c>
      <c r="U150" s="66" t="s">
        <v>545</v>
      </c>
      <c r="V150" s="84"/>
      <c r="W150" s="85"/>
      <c r="X150" s="66" t="s">
        <v>45</v>
      </c>
      <c r="Y150" s="84"/>
      <c r="Z150" s="84"/>
      <c r="AA150" s="151" t="s">
        <v>432</v>
      </c>
      <c r="AB150" s="110">
        <v>27</v>
      </c>
      <c r="AC150" s="84" t="s">
        <v>546</v>
      </c>
      <c r="AD150" s="84"/>
    </row>
    <row r="151" s="4" customFormat="1" ht="39" customHeight="1" spans="1:30">
      <c r="A151" s="25">
        <v>2</v>
      </c>
      <c r="B151" s="34" t="s">
        <v>547</v>
      </c>
      <c r="C151" s="153" t="s">
        <v>548</v>
      </c>
      <c r="D151" s="30" t="s">
        <v>549</v>
      </c>
      <c r="E151" s="30" t="s">
        <v>84</v>
      </c>
      <c r="F151" s="28">
        <f t="shared" si="13"/>
        <v>500</v>
      </c>
      <c r="G151" s="28"/>
      <c r="H151" s="28"/>
      <c r="I151" s="28">
        <v>500</v>
      </c>
      <c r="J151" s="28"/>
      <c r="K151" s="28"/>
      <c r="L151" s="55">
        <f t="shared" si="15"/>
        <v>417.8</v>
      </c>
      <c r="M151" s="58"/>
      <c r="N151" s="58"/>
      <c r="O151" s="71">
        <v>417.8</v>
      </c>
      <c r="P151" s="71"/>
      <c r="Q151" s="71"/>
      <c r="R151" s="87" t="s">
        <v>550</v>
      </c>
      <c r="S151" s="88">
        <v>2020.4</v>
      </c>
      <c r="T151" s="85" t="s">
        <v>43</v>
      </c>
      <c r="U151" s="85" t="s">
        <v>43</v>
      </c>
      <c r="V151" s="85"/>
      <c r="W151" s="85" t="s">
        <v>173</v>
      </c>
      <c r="X151" s="87"/>
      <c r="Y151" s="87">
        <v>2020.1</v>
      </c>
      <c r="Z151" s="85"/>
      <c r="AA151" s="85" t="s">
        <v>551</v>
      </c>
      <c r="AB151" s="85">
        <v>80</v>
      </c>
      <c r="AC151" s="85">
        <v>0.485</v>
      </c>
      <c r="AD151" s="85">
        <v>0.7</v>
      </c>
    </row>
    <row r="152" s="4" customFormat="1" ht="47" customHeight="1" spans="1:30">
      <c r="A152" s="25">
        <v>3</v>
      </c>
      <c r="B152" s="34" t="s">
        <v>552</v>
      </c>
      <c r="C152" s="154" t="s">
        <v>553</v>
      </c>
      <c r="D152" s="27" t="s">
        <v>91</v>
      </c>
      <c r="E152" s="27" t="s">
        <v>84</v>
      </c>
      <c r="F152" s="28">
        <f t="shared" si="13"/>
        <v>80</v>
      </c>
      <c r="G152" s="28"/>
      <c r="H152" s="28"/>
      <c r="I152" s="28">
        <v>80</v>
      </c>
      <c r="J152" s="28"/>
      <c r="K152" s="28"/>
      <c r="L152" s="55">
        <f t="shared" si="15"/>
        <v>80</v>
      </c>
      <c r="M152" s="58"/>
      <c r="N152" s="58"/>
      <c r="O152" s="65">
        <v>80</v>
      </c>
      <c r="P152" s="65"/>
      <c r="Q152" s="65"/>
      <c r="R152" s="87" t="s">
        <v>550</v>
      </c>
      <c r="S152" s="88">
        <v>2020.4</v>
      </c>
      <c r="T152" s="85" t="s">
        <v>43</v>
      </c>
      <c r="U152" s="85" t="s">
        <v>43</v>
      </c>
      <c r="V152" s="66"/>
      <c r="W152" s="85"/>
      <c r="X152" s="66" t="s">
        <v>45</v>
      </c>
      <c r="Y152" s="87">
        <v>2020.1</v>
      </c>
      <c r="Z152" s="66">
        <v>2020.7</v>
      </c>
      <c r="AA152" s="85" t="s">
        <v>551</v>
      </c>
      <c r="AB152" s="66">
        <v>80</v>
      </c>
      <c r="AC152" s="66">
        <v>2</v>
      </c>
      <c r="AD152" s="66">
        <v>5</v>
      </c>
    </row>
    <row r="153" s="4" customFormat="1" ht="47" customHeight="1" spans="1:30">
      <c r="A153" s="43" t="s">
        <v>137</v>
      </c>
      <c r="B153" s="35" t="s">
        <v>554</v>
      </c>
      <c r="C153" s="155"/>
      <c r="D153" s="50" t="s">
        <v>555</v>
      </c>
      <c r="E153" s="33"/>
      <c r="F153" s="33">
        <f t="shared" ref="F153:F155" si="16">SUM(G153:N153)</f>
        <v>45.79</v>
      </c>
      <c r="G153" s="33">
        <f>G154+G155</f>
        <v>0</v>
      </c>
      <c r="H153" s="33">
        <f t="shared" ref="G153:P153" si="17">H154+H155</f>
        <v>0</v>
      </c>
      <c r="I153" s="33">
        <f t="shared" si="17"/>
        <v>36.9</v>
      </c>
      <c r="J153" s="33">
        <f t="shared" si="17"/>
        <v>0</v>
      </c>
      <c r="K153" s="33">
        <f t="shared" si="17"/>
        <v>0</v>
      </c>
      <c r="L153" s="33">
        <f t="shared" si="17"/>
        <v>8.89</v>
      </c>
      <c r="M153" s="33">
        <f t="shared" si="17"/>
        <v>0</v>
      </c>
      <c r="N153" s="33">
        <f t="shared" si="17"/>
        <v>0</v>
      </c>
      <c r="O153" s="33">
        <f t="shared" si="17"/>
        <v>36.05</v>
      </c>
      <c r="P153" s="33">
        <f t="shared" si="17"/>
        <v>0</v>
      </c>
      <c r="Q153" s="90"/>
      <c r="R153" s="91"/>
      <c r="S153" s="91"/>
      <c r="T153" s="105"/>
      <c r="U153" s="105"/>
      <c r="V153" s="94"/>
      <c r="W153" s="93"/>
      <c r="X153" s="93"/>
      <c r="Y153" s="93"/>
      <c r="Z153" s="93"/>
      <c r="AA153" s="93"/>
      <c r="AB153" s="93"/>
      <c r="AC153" s="93"/>
      <c r="AD153" s="93"/>
    </row>
    <row r="154" s="4" customFormat="1" ht="47" customHeight="1" spans="1:30">
      <c r="A154" s="43">
        <v>1</v>
      </c>
      <c r="B154" s="35" t="s">
        <v>556</v>
      </c>
      <c r="C154" s="155" t="s">
        <v>557</v>
      </c>
      <c r="D154" s="50" t="s">
        <v>555</v>
      </c>
      <c r="E154" s="33"/>
      <c r="F154" s="33">
        <f t="shared" si="16"/>
        <v>28</v>
      </c>
      <c r="G154" s="33"/>
      <c r="H154" s="33"/>
      <c r="I154" s="33">
        <v>28</v>
      </c>
      <c r="J154" s="33"/>
      <c r="K154" s="33"/>
      <c r="L154" s="33"/>
      <c r="M154" s="33"/>
      <c r="N154" s="33"/>
      <c r="O154" s="33">
        <v>27.16</v>
      </c>
      <c r="P154" s="33"/>
      <c r="Q154" s="90">
        <v>4</v>
      </c>
      <c r="R154" s="91">
        <v>0.0298</v>
      </c>
      <c r="S154" s="91"/>
      <c r="T154" s="105" t="s">
        <v>106</v>
      </c>
      <c r="U154" s="95" t="s">
        <v>224</v>
      </c>
      <c r="V154" s="94"/>
      <c r="W154" s="85"/>
      <c r="X154" s="66" t="s">
        <v>45</v>
      </c>
      <c r="Y154" s="93">
        <v>2020.7</v>
      </c>
      <c r="Z154" s="93">
        <v>2020.11</v>
      </c>
      <c r="AA154" s="157" t="s">
        <v>557</v>
      </c>
      <c r="AB154" s="98">
        <v>1</v>
      </c>
      <c r="AC154" s="93"/>
      <c r="AD154" s="93"/>
    </row>
    <row r="155" s="4" customFormat="1" ht="47" customHeight="1" spans="1:30">
      <c r="A155" s="43">
        <v>2</v>
      </c>
      <c r="B155" s="35" t="s">
        <v>558</v>
      </c>
      <c r="C155" s="155" t="s">
        <v>559</v>
      </c>
      <c r="D155" s="50" t="s">
        <v>366</v>
      </c>
      <c r="E155" s="33"/>
      <c r="F155" s="33">
        <f t="shared" si="16"/>
        <v>17.79</v>
      </c>
      <c r="G155" s="33"/>
      <c r="H155" s="33"/>
      <c r="I155" s="33">
        <v>8.9</v>
      </c>
      <c r="J155" s="33"/>
      <c r="K155" s="33"/>
      <c r="L155" s="55">
        <f>SUM(M155:Q155)</f>
        <v>8.89</v>
      </c>
      <c r="M155" s="33"/>
      <c r="N155" s="33"/>
      <c r="O155" s="33">
        <v>8.89</v>
      </c>
      <c r="P155" s="33"/>
      <c r="Q155" s="90"/>
      <c r="R155" s="91"/>
      <c r="S155" s="91"/>
      <c r="T155" s="95" t="s">
        <v>43</v>
      </c>
      <c r="U155" s="105" t="s">
        <v>560</v>
      </c>
      <c r="V155" s="94"/>
      <c r="W155" s="85"/>
      <c r="X155" s="66" t="s">
        <v>45</v>
      </c>
      <c r="Y155" s="93">
        <v>2020.8</v>
      </c>
      <c r="Z155" s="93" t="s">
        <v>55</v>
      </c>
      <c r="AA155" s="157" t="s">
        <v>559</v>
      </c>
      <c r="AB155" s="98">
        <v>1</v>
      </c>
      <c r="AC155" s="93"/>
      <c r="AD155" s="93"/>
    </row>
    <row r="156" s="4" customFormat="1" ht="36" customHeight="1" spans="1:30">
      <c r="A156" s="25" t="s">
        <v>145</v>
      </c>
      <c r="B156" s="34" t="s">
        <v>168</v>
      </c>
      <c r="C156" s="153"/>
      <c r="D156" s="27"/>
      <c r="E156" s="27"/>
      <c r="F156" s="28">
        <f>SUM(G156:K156)</f>
        <v>470</v>
      </c>
      <c r="G156" s="28">
        <f>SUM(G157:G157)</f>
        <v>100</v>
      </c>
      <c r="H156" s="28">
        <f>SUM(H157:H157)</f>
        <v>0</v>
      </c>
      <c r="I156" s="28">
        <f>SUM(I157:I157)</f>
        <v>370</v>
      </c>
      <c r="J156" s="28">
        <f>SUM(J157:J157)</f>
        <v>0</v>
      </c>
      <c r="K156" s="28">
        <f>SUM(K157:K157)</f>
        <v>0</v>
      </c>
      <c r="L156" s="55">
        <f>SUM(M156:Q156)</f>
        <v>460.14</v>
      </c>
      <c r="M156" s="58">
        <f>SUM(M157)</f>
        <v>100</v>
      </c>
      <c r="N156" s="58">
        <f>SUM(N157)</f>
        <v>0</v>
      </c>
      <c r="O156" s="58">
        <f>SUM(O157)</f>
        <v>360.14</v>
      </c>
      <c r="P156" s="58">
        <f>SUM(P157)</f>
        <v>0</v>
      </c>
      <c r="Q156" s="58">
        <f>SUM(Q157)</f>
        <v>0</v>
      </c>
      <c r="R156" s="82"/>
      <c r="S156" s="83"/>
      <c r="T156" s="82"/>
      <c r="U156" s="82"/>
      <c r="V156" s="82"/>
      <c r="W156" s="82"/>
      <c r="X156" s="82"/>
      <c r="Y156" s="82"/>
      <c r="Z156" s="82"/>
      <c r="AA156" s="82"/>
      <c r="AB156" s="82"/>
      <c r="AC156" s="82"/>
      <c r="AD156" s="82"/>
    </row>
    <row r="157" s="4" customFormat="1" ht="78" customHeight="1" spans="1:30">
      <c r="A157" s="25">
        <v>1</v>
      </c>
      <c r="B157" s="26" t="s">
        <v>561</v>
      </c>
      <c r="C157" s="52" t="s">
        <v>562</v>
      </c>
      <c r="D157" s="27" t="s">
        <v>39</v>
      </c>
      <c r="E157" s="27" t="s">
        <v>84</v>
      </c>
      <c r="F157" s="28">
        <f>SUM(G157:K157)</f>
        <v>470</v>
      </c>
      <c r="G157" s="28">
        <v>100</v>
      </c>
      <c r="H157" s="28"/>
      <c r="I157" s="28">
        <v>370</v>
      </c>
      <c r="J157" s="28"/>
      <c r="K157" s="28"/>
      <c r="L157" s="55">
        <f>SUM(M157:Q157)</f>
        <v>460.14</v>
      </c>
      <c r="M157" s="58">
        <v>100</v>
      </c>
      <c r="N157" s="58"/>
      <c r="O157" s="156">
        <v>360.14</v>
      </c>
      <c r="P157" s="156"/>
      <c r="Q157" s="156"/>
      <c r="R157" s="82"/>
      <c r="S157" s="83"/>
      <c r="T157" s="82"/>
      <c r="U157" s="82"/>
      <c r="V157" s="82"/>
      <c r="W157" s="82"/>
      <c r="X157" s="82"/>
      <c r="Y157" s="82"/>
      <c r="Z157" s="82"/>
      <c r="AA157" s="82"/>
      <c r="AB157" s="82"/>
      <c r="AC157" s="82"/>
      <c r="AD157" s="82"/>
    </row>
    <row r="158" ht="36" customHeight="1"/>
    <row r="159" ht="36" customHeight="1"/>
    <row r="160" spans="6:10">
      <c r="F160" s="4"/>
      <c r="G160" s="4"/>
      <c r="H160" s="4"/>
      <c r="I160" s="4"/>
      <c r="J160" s="4"/>
    </row>
    <row r="174" s="9" customFormat="1" spans="2:15">
      <c r="B174" s="10"/>
      <c r="C174" s="4"/>
      <c r="D174" s="11"/>
      <c r="E174" s="11"/>
      <c r="F174" s="4"/>
      <c r="G174" s="4"/>
      <c r="H174" s="4"/>
      <c r="I174" s="4"/>
      <c r="J174" s="4"/>
      <c r="O174" s="4"/>
    </row>
  </sheetData>
  <autoFilter ref="A5:XEN157">
    <extLst/>
  </autoFilter>
  <mergeCells count="35">
    <mergeCell ref="A1:AD1"/>
    <mergeCell ref="A2:X2"/>
    <mergeCell ref="F3:K3"/>
    <mergeCell ref="L3:Q3"/>
    <mergeCell ref="R3:U3"/>
    <mergeCell ref="V3:X3"/>
    <mergeCell ref="Y3:Z3"/>
    <mergeCell ref="AA3:AD3"/>
    <mergeCell ref="G4:I4"/>
    <mergeCell ref="M4:O4"/>
    <mergeCell ref="A6:B6"/>
    <mergeCell ref="A3:A5"/>
    <mergeCell ref="B3:B5"/>
    <mergeCell ref="C3:C5"/>
    <mergeCell ref="D3:D5"/>
    <mergeCell ref="E3:E5"/>
    <mergeCell ref="F4:F5"/>
    <mergeCell ref="J4:J5"/>
    <mergeCell ref="K4:K5"/>
    <mergeCell ref="L4:L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472222222222222" right="0.432638888888889" top="0.720138888888889" bottom="0.708333333333333" header="0.259722222222222" footer="0.393055555555556"/>
  <pageSetup paperSize="8"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存在丶</cp:lastModifiedBy>
  <dcterms:created xsi:type="dcterms:W3CDTF">2018-02-27T11:14:00Z</dcterms:created>
  <cp:lastPrinted>2020-02-24T04:02:00Z</cp:lastPrinted>
  <dcterms:modified xsi:type="dcterms:W3CDTF">2020-11-05T03:18:38Z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